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Долги на 01.10\"/>
    </mc:Choice>
  </mc:AlternateContent>
  <bookViews>
    <workbookView xWindow="120" yWindow="90" windowWidth="19320" windowHeight="10050" tabRatio="789"/>
  </bookViews>
  <sheets>
    <sheet name="Инфраструктура 30.09.19" sheetId="30" r:id="rId1"/>
  </sheets>
  <definedNames>
    <definedName name="_xlnm._FilterDatabase" localSheetId="0" hidden="1">'Инфраструктура 30.09.19'!$A$3:$N$135</definedName>
    <definedName name="_xlnm.Print_Titles" localSheetId="0">'Инфраструктура 30.09.19'!$2:$3</definedName>
  </definedNames>
  <calcPr calcId="152511"/>
</workbook>
</file>

<file path=xl/calcChain.xml><?xml version="1.0" encoding="utf-8"?>
<calcChain xmlns="http://schemas.openxmlformats.org/spreadsheetml/2006/main">
  <c r="J99" i="30" l="1"/>
  <c r="J74" i="30"/>
  <c r="J67" i="30"/>
  <c r="H66" i="30" l="1"/>
  <c r="H58" i="30" l="1"/>
  <c r="K58" i="30" s="1"/>
  <c r="E58" i="30"/>
  <c r="I134" i="30" l="1"/>
  <c r="I132" i="30"/>
  <c r="I131" i="30"/>
  <c r="I128" i="30"/>
  <c r="I126" i="30"/>
  <c r="I117" i="30"/>
  <c r="I113" i="30"/>
  <c r="I111" i="30"/>
  <c r="I104" i="30"/>
  <c r="I99" i="30"/>
  <c r="I98" i="30"/>
  <c r="I95" i="30"/>
  <c r="I92" i="30"/>
  <c r="I91" i="30"/>
  <c r="I89" i="30" l="1"/>
  <c r="I88" i="30"/>
  <c r="I86" i="30"/>
  <c r="I82" i="30"/>
  <c r="I79" i="30"/>
  <c r="I77" i="30"/>
  <c r="I75" i="30"/>
  <c r="I71" i="30"/>
  <c r="I70" i="30"/>
  <c r="I69" i="30"/>
  <c r="I67" i="30"/>
  <c r="I63" i="30"/>
  <c r="I59" i="30"/>
  <c r="I54" i="30"/>
  <c r="I45" i="30"/>
  <c r="I41" i="30"/>
  <c r="I40" i="30"/>
  <c r="I39" i="30"/>
  <c r="I37" i="30"/>
  <c r="I34" i="30"/>
  <c r="I30" i="30"/>
  <c r="I28" i="30"/>
  <c r="I25" i="30"/>
  <c r="I24" i="30"/>
  <c r="I19" i="30"/>
  <c r="I14" i="30"/>
  <c r="N135" i="30" l="1"/>
  <c r="J135" i="30"/>
  <c r="F135" i="30"/>
  <c r="D135" i="30"/>
  <c r="C135" i="30"/>
  <c r="H134" i="30"/>
  <c r="E134" i="30"/>
  <c r="I133" i="30"/>
  <c r="H133" i="30"/>
  <c r="K133" i="30" s="1"/>
  <c r="E133" i="30"/>
  <c r="H132" i="30"/>
  <c r="K132" i="30" s="1"/>
  <c r="E132" i="30"/>
  <c r="H131" i="30"/>
  <c r="K131" i="30" s="1"/>
  <c r="E131" i="30"/>
  <c r="K130" i="30"/>
  <c r="E130" i="30"/>
  <c r="I129" i="30"/>
  <c r="H129" i="30"/>
  <c r="K129" i="30" s="1"/>
  <c r="E129" i="30"/>
  <c r="H128" i="30"/>
  <c r="E128" i="30"/>
  <c r="I127" i="30"/>
  <c r="H127" i="30"/>
  <c r="K127" i="30" s="1"/>
  <c r="E127" i="30"/>
  <c r="H126" i="30"/>
  <c r="E126" i="30"/>
  <c r="I125" i="30"/>
  <c r="H125" i="30"/>
  <c r="K125" i="30" s="1"/>
  <c r="E125" i="30"/>
  <c r="I124" i="30"/>
  <c r="H124" i="30"/>
  <c r="E124" i="30"/>
  <c r="I123" i="30"/>
  <c r="H123" i="30"/>
  <c r="K123" i="30" s="1"/>
  <c r="E123" i="30"/>
  <c r="I122" i="30"/>
  <c r="H122" i="30"/>
  <c r="E122" i="30"/>
  <c r="I121" i="30"/>
  <c r="H121" i="30"/>
  <c r="K121" i="30" s="1"/>
  <c r="E121" i="30"/>
  <c r="H120" i="30"/>
  <c r="K120" i="30" s="1"/>
  <c r="E120" i="30"/>
  <c r="I119" i="30"/>
  <c r="H119" i="30"/>
  <c r="K119" i="30" s="1"/>
  <c r="E119" i="30"/>
  <c r="I118" i="30"/>
  <c r="H118" i="30"/>
  <c r="K118" i="30" s="1"/>
  <c r="E118" i="30"/>
  <c r="H117" i="30"/>
  <c r="K117" i="30" s="1"/>
  <c r="E117" i="30"/>
  <c r="I116" i="30"/>
  <c r="H116" i="30"/>
  <c r="E116" i="30"/>
  <c r="H115" i="30"/>
  <c r="K115" i="30" s="1"/>
  <c r="E115" i="30"/>
  <c r="I114" i="30"/>
  <c r="H114" i="30"/>
  <c r="K114" i="30" s="1"/>
  <c r="E114" i="30"/>
  <c r="H113" i="30"/>
  <c r="K113" i="30" s="1"/>
  <c r="E113" i="30"/>
  <c r="I112" i="30"/>
  <c r="H112" i="30"/>
  <c r="K112" i="30" s="1"/>
  <c r="E112" i="30"/>
  <c r="H111" i="30"/>
  <c r="E111" i="30"/>
  <c r="I110" i="30"/>
  <c r="H110" i="30"/>
  <c r="K110" i="30" s="1"/>
  <c r="E110" i="30"/>
  <c r="I109" i="30"/>
  <c r="H109" i="30"/>
  <c r="E109" i="30"/>
  <c r="H108" i="30"/>
  <c r="K108" i="30" s="1"/>
  <c r="E108" i="30"/>
  <c r="I107" i="30"/>
  <c r="H107" i="30"/>
  <c r="K107" i="30" s="1"/>
  <c r="E107" i="30"/>
  <c r="I106" i="30"/>
  <c r="H106" i="30"/>
  <c r="E106" i="30"/>
  <c r="K105" i="30"/>
  <c r="H105" i="30"/>
  <c r="E105" i="30"/>
  <c r="H104" i="30"/>
  <c r="K104" i="30" s="1"/>
  <c r="E104" i="30"/>
  <c r="I103" i="30"/>
  <c r="H103" i="30"/>
  <c r="K103" i="30" s="1"/>
  <c r="E103" i="30"/>
  <c r="I102" i="30"/>
  <c r="H102" i="30"/>
  <c r="K102" i="30" s="1"/>
  <c r="E102" i="30"/>
  <c r="I101" i="30"/>
  <c r="H101" i="30"/>
  <c r="K101" i="30" s="1"/>
  <c r="E101" i="30"/>
  <c r="I100" i="30"/>
  <c r="H100" i="30"/>
  <c r="K100" i="30" s="1"/>
  <c r="E100" i="30"/>
  <c r="H99" i="30"/>
  <c r="K99" i="30" s="1"/>
  <c r="H98" i="30"/>
  <c r="K98" i="30" s="1"/>
  <c r="E98" i="30"/>
  <c r="I97" i="30"/>
  <c r="H97" i="30"/>
  <c r="E97" i="30"/>
  <c r="I96" i="30"/>
  <c r="H96" i="30"/>
  <c r="K96" i="30" s="1"/>
  <c r="E96" i="30"/>
  <c r="H95" i="30"/>
  <c r="K95" i="30" s="1"/>
  <c r="E95" i="30"/>
  <c r="I94" i="30"/>
  <c r="H94" i="30"/>
  <c r="K94" i="30" s="1"/>
  <c r="E94" i="30"/>
  <c r="H93" i="30"/>
  <c r="K93" i="30" s="1"/>
  <c r="E93" i="30"/>
  <c r="H92" i="30"/>
  <c r="E92" i="30"/>
  <c r="H91" i="30"/>
  <c r="K91" i="30" s="1"/>
  <c r="E91" i="30"/>
  <c r="H90" i="30"/>
  <c r="K90" i="30" s="1"/>
  <c r="E90" i="30"/>
  <c r="H89" i="30"/>
  <c r="K89" i="30" s="1"/>
  <c r="E89" i="30"/>
  <c r="H88" i="30"/>
  <c r="K88" i="30" s="1"/>
  <c r="E88" i="30"/>
  <c r="I87" i="30"/>
  <c r="H87" i="30"/>
  <c r="K87" i="30" s="1"/>
  <c r="E87" i="30"/>
  <c r="H86" i="30"/>
  <c r="K86" i="30" s="1"/>
  <c r="E86" i="30"/>
  <c r="I85" i="30"/>
  <c r="H85" i="30"/>
  <c r="K85" i="30" s="1"/>
  <c r="E85" i="30"/>
  <c r="I84" i="30"/>
  <c r="H84" i="30"/>
  <c r="E84" i="30"/>
  <c r="I83" i="30"/>
  <c r="H83" i="30"/>
  <c r="K83" i="30" s="1"/>
  <c r="E83" i="30"/>
  <c r="H82" i="30"/>
  <c r="K82" i="30" s="1"/>
  <c r="E82" i="30"/>
  <c r="I81" i="30"/>
  <c r="H81" i="30"/>
  <c r="K81" i="30" s="1"/>
  <c r="E81" i="30"/>
  <c r="I80" i="30"/>
  <c r="H80" i="30"/>
  <c r="E80" i="30"/>
  <c r="H79" i="30"/>
  <c r="K79" i="30" s="1"/>
  <c r="E79" i="30"/>
  <c r="H78" i="30"/>
  <c r="K78" i="30" s="1"/>
  <c r="E78" i="30"/>
  <c r="H77" i="30"/>
  <c r="K77" i="30" s="1"/>
  <c r="E77" i="30"/>
  <c r="H76" i="30"/>
  <c r="K76" i="30" s="1"/>
  <c r="E76" i="30"/>
  <c r="H75" i="30"/>
  <c r="K75" i="30" s="1"/>
  <c r="E75" i="30"/>
  <c r="I74" i="30"/>
  <c r="H74" i="30"/>
  <c r="E74" i="30"/>
  <c r="I73" i="30"/>
  <c r="H73" i="30"/>
  <c r="K73" i="30" s="1"/>
  <c r="E73" i="30"/>
  <c r="H72" i="30"/>
  <c r="K72" i="30" s="1"/>
  <c r="E72" i="30"/>
  <c r="H71" i="30"/>
  <c r="E71" i="30"/>
  <c r="H70" i="30"/>
  <c r="K70" i="30" s="1"/>
  <c r="E70" i="30"/>
  <c r="H69" i="30"/>
  <c r="K69" i="30" s="1"/>
  <c r="E69" i="30"/>
  <c r="I68" i="30"/>
  <c r="H68" i="30"/>
  <c r="K68" i="30" s="1"/>
  <c r="E68" i="30"/>
  <c r="H67" i="30"/>
  <c r="K67" i="30" s="1"/>
  <c r="E67" i="30"/>
  <c r="K66" i="30"/>
  <c r="E66" i="30"/>
  <c r="I65" i="30"/>
  <c r="H65" i="30"/>
  <c r="K65" i="30" s="1"/>
  <c r="E65" i="30"/>
  <c r="I64" i="30"/>
  <c r="H64" i="30"/>
  <c r="K64" i="30" s="1"/>
  <c r="E64" i="30"/>
  <c r="H63" i="30"/>
  <c r="K63" i="30" s="1"/>
  <c r="E63" i="30"/>
  <c r="H62" i="30"/>
  <c r="K62" i="30" s="1"/>
  <c r="E62" i="30"/>
  <c r="I61" i="30"/>
  <c r="H61" i="30"/>
  <c r="K61" i="30" s="1"/>
  <c r="E61" i="30"/>
  <c r="H60" i="30"/>
  <c r="K60" i="30" s="1"/>
  <c r="E60" i="30"/>
  <c r="H59" i="30"/>
  <c r="E59" i="30"/>
  <c r="H57" i="30"/>
  <c r="K57" i="30" s="1"/>
  <c r="E57" i="30"/>
  <c r="I56" i="30"/>
  <c r="H56" i="30"/>
  <c r="K56" i="30" s="1"/>
  <c r="E56" i="30"/>
  <c r="I55" i="30"/>
  <c r="H55" i="30"/>
  <c r="K55" i="30" s="1"/>
  <c r="E55" i="30"/>
  <c r="H54" i="30"/>
  <c r="K54" i="30" s="1"/>
  <c r="E54" i="30"/>
  <c r="I53" i="30"/>
  <c r="H53" i="30"/>
  <c r="K53" i="30" s="1"/>
  <c r="E53" i="30"/>
  <c r="I52" i="30"/>
  <c r="H52" i="30"/>
  <c r="K52" i="30" s="1"/>
  <c r="E52" i="30"/>
  <c r="H51" i="30"/>
  <c r="K51" i="30" s="1"/>
  <c r="E51" i="30"/>
  <c r="I50" i="30"/>
  <c r="H50" i="30"/>
  <c r="K50" i="30" s="1"/>
  <c r="E50" i="30"/>
  <c r="H49" i="30"/>
  <c r="K49" i="30" s="1"/>
  <c r="E49" i="30"/>
  <c r="H48" i="30"/>
  <c r="K48" i="30" s="1"/>
  <c r="E48" i="30"/>
  <c r="H47" i="30"/>
  <c r="K47" i="30" s="1"/>
  <c r="E47" i="30"/>
  <c r="I46" i="30"/>
  <c r="H46" i="30"/>
  <c r="K46" i="30" s="1"/>
  <c r="E46" i="30"/>
  <c r="H45" i="30"/>
  <c r="K45" i="30" s="1"/>
  <c r="E45" i="30"/>
  <c r="I44" i="30"/>
  <c r="H44" i="30"/>
  <c r="K44" i="30" s="1"/>
  <c r="E44" i="30"/>
  <c r="I43" i="30"/>
  <c r="H43" i="30"/>
  <c r="E43" i="30"/>
  <c r="I42" i="30"/>
  <c r="H42" i="30"/>
  <c r="K42" i="30" s="1"/>
  <c r="E42" i="30"/>
  <c r="H41" i="30"/>
  <c r="K41" i="30" s="1"/>
  <c r="E41" i="30"/>
  <c r="H40" i="30"/>
  <c r="K40" i="30" s="1"/>
  <c r="E40" i="30"/>
  <c r="H39" i="30"/>
  <c r="E39" i="30"/>
  <c r="H38" i="30"/>
  <c r="K38" i="30" s="1"/>
  <c r="E38" i="30"/>
  <c r="H37" i="30"/>
  <c r="K37" i="30" s="1"/>
  <c r="E37" i="30"/>
  <c r="I36" i="30"/>
  <c r="H36" i="30"/>
  <c r="E36" i="30"/>
  <c r="I35" i="30"/>
  <c r="H35" i="30"/>
  <c r="K35" i="30" s="1"/>
  <c r="E35" i="30"/>
  <c r="H34" i="30"/>
  <c r="E34" i="30"/>
  <c r="I33" i="30"/>
  <c r="H33" i="30"/>
  <c r="K33" i="30" s="1"/>
  <c r="E33" i="30"/>
  <c r="I32" i="30"/>
  <c r="H32" i="30"/>
  <c r="E32" i="30"/>
  <c r="I31" i="30"/>
  <c r="H31" i="30"/>
  <c r="K31" i="30" s="1"/>
  <c r="E31" i="30"/>
  <c r="H30" i="30"/>
  <c r="E30" i="30"/>
  <c r="K29" i="30"/>
  <c r="H28" i="30"/>
  <c r="K28" i="30" s="1"/>
  <c r="E28" i="30"/>
  <c r="I27" i="30"/>
  <c r="H27" i="30"/>
  <c r="K27" i="30" s="1"/>
  <c r="E27" i="30"/>
  <c r="I26" i="30"/>
  <c r="H26" i="30"/>
  <c r="E26" i="30"/>
  <c r="H25" i="30"/>
  <c r="K25" i="30" s="1"/>
  <c r="E25" i="30"/>
  <c r="H24" i="30"/>
  <c r="E24" i="30"/>
  <c r="I23" i="30"/>
  <c r="H23" i="30"/>
  <c r="K23" i="30" s="1"/>
  <c r="E23" i="30"/>
  <c r="I22" i="30"/>
  <c r="H22" i="30"/>
  <c r="E22" i="30"/>
  <c r="I21" i="30"/>
  <c r="H21" i="30"/>
  <c r="K21" i="30" s="1"/>
  <c r="I20" i="30"/>
  <c r="H20" i="30"/>
  <c r="K20" i="30" s="1"/>
  <c r="E20" i="30"/>
  <c r="H19" i="30"/>
  <c r="E19" i="30"/>
  <c r="I18" i="30"/>
  <c r="H18" i="30"/>
  <c r="K18" i="30" s="1"/>
  <c r="E18" i="30"/>
  <c r="I17" i="30"/>
  <c r="H17" i="30"/>
  <c r="E17" i="30"/>
  <c r="I16" i="30"/>
  <c r="H16" i="30"/>
  <c r="K16" i="30" s="1"/>
  <c r="E16" i="30"/>
  <c r="I15" i="30"/>
  <c r="H15" i="30"/>
  <c r="E15" i="30"/>
  <c r="H14" i="30"/>
  <c r="K14" i="30" s="1"/>
  <c r="E14" i="30"/>
  <c r="I13" i="30"/>
  <c r="H13" i="30"/>
  <c r="E13" i="30"/>
  <c r="I12" i="30"/>
  <c r="H12" i="30"/>
  <c r="K12" i="30" s="1"/>
  <c r="E12" i="30"/>
  <c r="H11" i="30"/>
  <c r="K11" i="30" s="1"/>
  <c r="E11" i="30"/>
  <c r="I10" i="30"/>
  <c r="H10" i="30"/>
  <c r="E10" i="30"/>
  <c r="I9" i="30"/>
  <c r="H9" i="30"/>
  <c r="K9" i="30" s="1"/>
  <c r="E9" i="30"/>
  <c r="I8" i="30"/>
  <c r="H8" i="30"/>
  <c r="E8" i="30"/>
  <c r="I7" i="30"/>
  <c r="H7" i="30"/>
  <c r="K7" i="30" s="1"/>
  <c r="E7" i="30"/>
  <c r="I6" i="30"/>
  <c r="I135" i="30" s="1"/>
  <c r="H6" i="30"/>
  <c r="E6" i="30"/>
  <c r="E5" i="30"/>
  <c r="H4" i="30"/>
  <c r="K4" i="30" s="1"/>
  <c r="E4" i="30"/>
  <c r="K84" i="30" l="1"/>
  <c r="K22" i="30"/>
  <c r="K17" i="30"/>
  <c r="K122" i="30"/>
  <c r="K80" i="30"/>
  <c r="K10" i="30"/>
  <c r="K36" i="30"/>
  <c r="K116" i="30"/>
  <c r="K26" i="30"/>
  <c r="K15" i="30"/>
  <c r="E135" i="30"/>
  <c r="K134" i="30"/>
  <c r="K126" i="30"/>
  <c r="K124" i="30"/>
  <c r="K128" i="30"/>
  <c r="K106" i="30"/>
  <c r="K111" i="30"/>
  <c r="K109" i="30"/>
  <c r="K97" i="30"/>
  <c r="K92" i="30"/>
  <c r="K71" i="30"/>
  <c r="K74" i="30"/>
  <c r="K59" i="30"/>
  <c r="K39" i="30"/>
  <c r="K43" i="30"/>
  <c r="K24" i="30"/>
  <c r="K34" i="30"/>
  <c r="K32" i="30"/>
  <c r="K30" i="30"/>
  <c r="K13" i="30"/>
  <c r="K8" i="30"/>
  <c r="H135" i="30"/>
  <c r="K19" i="30"/>
  <c r="K6" i="30"/>
  <c r="K135" i="30" l="1"/>
  <c r="K138" i="30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5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3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04"/>
          </rPr>
          <t>бывший - Еленевская Марина Ханафьевна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1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<sst xmlns="http://schemas.openxmlformats.org/spreadsheetml/2006/main" count="271" uniqueCount="153">
  <si>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</si>
  <si>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</si>
  <si>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</si>
  <si>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</si>
  <si>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</si>
  <si>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</si>
  <si>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</si>
  <si>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Матвиевский/Малкин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</si>
  <si>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</si>
  <si>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</si>
  <si>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</si>
  <si>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</si>
  <si>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</si>
  <si>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</si>
  <si>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</si>
  <si>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</si>
  <si>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</si>
  <si>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</si>
  <si>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</si>
  <si>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</si>
  <si>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</si>
  <si>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</si>
  <si>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</si>
  <si>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</si>
  <si>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</si>
  <si>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</si>
  <si>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</si>
  <si>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</si>
  <si>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</si>
  <si>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</si>
  <si>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</si>
  <si>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</si>
  <si>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</si>
  <si>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</si>
  <si>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</si>
  <si>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</si>
  <si>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</si>
  <si>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</si>
  <si>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</si>
  <si>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</si>
  <si>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</si>
  <si>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</si>
  <si>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</si>
  <si>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Науменко Николай Александрович</t>
  </si>
  <si>
    <t>Дмитриев Евгений Владимирович</t>
  </si>
  <si>
    <t>Алябьев Андрей Геннадьевич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</si>
  <si>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</si>
  <si>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</si>
  <si>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</si>
  <si>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</si>
  <si>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Стрельцова Юлия Юрьевна</t>
  </si>
  <si>
    <t>Сухорукова Ирина Владимировна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</si>
  <si>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</si>
  <si>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</si>
  <si>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</si>
  <si>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</si>
  <si>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</si>
  <si>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</si>
  <si>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</si>
  <si>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</si>
  <si>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</si>
  <si>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</si>
  <si>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</si>
  <si>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</si>
  <si>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</si>
  <si>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</si>
  <si>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</si>
  <si>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</si>
  <si>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</si>
  <si>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</si>
  <si>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</si>
  <si>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</si>
  <si>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</si>
  <si>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</si>
  <si>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</si>
  <si>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</si>
  <si>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Ольховик Зинаида Васильевна
Наталия
Игорь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</si>
  <si>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</si>
  <si>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</si>
  <si>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</si>
  <si>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</si>
  <si>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</si>
  <si>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</si>
  <si>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</si>
  <si>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</si>
  <si>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</si>
  <si>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</si>
  <si>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</si>
  <si>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</si>
  <si>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</si>
  <si>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</si>
  <si>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</si>
  <si>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</si>
  <si>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</si>
  <si>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</si>
  <si>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Строганова Ольга Александровна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</si>
  <si>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</si>
  <si>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</si>
  <si>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</si>
  <si>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</si>
  <si>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</si>
  <si>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</si>
  <si>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</si>
  <si>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</si>
  <si>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</si>
  <si>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</si>
  <si>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</si>
  <si>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</si>
  <si>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</si>
  <si>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</si>
  <si>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</si>
  <si>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</si>
  <si>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</si>
  <si>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+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</si>
  <si>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</si>
  <si>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</si>
  <si>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</si>
  <si>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</si>
  <si>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</si>
  <si>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</si>
  <si>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</si>
  <si>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</si>
  <si>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</si>
  <si>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</si>
  <si>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10 - 1277</t>
  </si>
  <si>
    <t>11 - 1277</t>
  </si>
  <si>
    <t>13 - 1277</t>
  </si>
  <si>
    <t>2 - 1277</t>
  </si>
  <si>
    <t>1 - 1277</t>
  </si>
  <si>
    <t>5 - 1277</t>
  </si>
  <si>
    <t>9 - 1277</t>
  </si>
  <si>
    <t>10 - 1277 (2)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</si>
  <si>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</si>
  <si>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</si>
  <si>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</si>
  <si>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</si>
  <si>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</si>
  <si>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</si>
  <si>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Петров Илья Алексеевич</t>
  </si>
  <si>
    <t>Тында Светлана Ивановна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</si>
  <si>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</si>
  <si>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</si>
  <si>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</si>
  <si>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пересчитали с 02.2018</t>
  </si>
  <si>
    <t>Кузьмина Мария Ивановна</t>
  </si>
  <si>
    <t>Галицкая Снежана Александровна</t>
  </si>
  <si>
    <t>Сводная таблица по начисленным и оплаченным взносам на 30.09.2019г.</t>
  </si>
  <si>
    <t>Щербаков Сергей Петрович</t>
  </si>
  <si>
    <t>Начислено c 01.09.2016 по 30.09.2019</t>
  </si>
  <si>
    <t>Оплачено  по 31.08.2019</t>
  </si>
  <si>
    <t>Оплачено с 01.09.2019 по 30.09.2019</t>
  </si>
  <si>
    <t>Остаток  на 30.09.2019г. задолженность (-), переплата (+)</t>
  </si>
  <si>
    <t>Тюльпанова Лидия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</si>
</sst>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4" fontId="2" fillId="11" borderId="0" xfId="0" applyNumberFormat="1" applyFont="1" applyFill="1" applyAlignment="1">
      <alignment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12" borderId="3" xfId="1" applyNumberFormat="1" applyFont="1" applyFill="1" applyBorder="1" applyAlignment="1">
      <alignment horizontal="center" vertical="center" wrapText="1"/>
    </xf>
    <xf numFmtId="0" fontId="2" fillId="12" borderId="3" xfId="0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8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13" borderId="0" xfId="0" applyFont="1" applyFill="1" applyAlignment="1">
      <alignment vertical="center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abSelected="1" zoomScaleNormal="10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J10" sqref="J10"/>
    </sheetView>
  </sheetViews>
  <sheetFormatPr defaultColWidth="9.140625" defaultRowHeight="15" x14ac:dyDescent="0.25"/>
  <cols>
    <col min="1" max="1" width="5.5703125" style="11" customWidth="1"/>
    <col min="2" max="2" width="36.42578125" style="45" hidden="1" customWidth="1"/>
    <col min="3" max="3" width="10" style="20" customWidth="1"/>
    <col min="4" max="4" width="9.5703125" style="20" customWidth="1"/>
    <col min="5" max="5" width="11.28515625" style="20" customWidth="1"/>
    <col min="6" max="6" width="12.7109375" style="20" hidden="1" customWidth="1"/>
    <col min="7" max="7" width="19.140625" style="25" hidden="1" customWidth="1"/>
    <col min="8" max="8" width="13.7109375" style="12" customWidth="1"/>
    <col min="9" max="9" width="12.7109375" style="12" customWidth="1"/>
    <col min="10" max="10" width="12.5703125" style="12" customWidth="1"/>
    <col min="11" max="11" width="16.7109375" style="12" customWidth="1"/>
    <col min="12" max="12" width="2.140625" style="11" hidden="1" customWidth="1"/>
    <col min="13" max="13" width="11.85546875" style="5" hidden="1" customWidth="1"/>
    <col min="14" max="14" width="6.7109375" style="5" hidden="1" customWidth="1"/>
    <col min="15" max="15" width="15.140625" style="5" hidden="1" customWidth="1"/>
    <col min="16" max="16" width="12" style="5" customWidth="1"/>
    <col min="17" max="17" width="11" style="5" bestFit="1" customWidth="1"/>
    <col min="18" max="16384" width="9.140625" style="5"/>
  </cols>
  <sheetData>
    <row r="1" spans="1:14" s="1" customFormat="1" x14ac:dyDescent="0.25">
      <c r="A1" s="97" t="s">
        <v>146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5"/>
    </row>
    <row r="2" spans="1:14" s="1" customFormat="1" x14ac:dyDescent="0.25">
      <c r="A2" s="98" t="s">
        <v>117</v>
      </c>
      <c r="B2" s="79"/>
      <c r="C2" s="100" t="s">
        <v>0</v>
      </c>
      <c r="D2" s="100"/>
      <c r="E2" s="100" t="s">
        <v>1</v>
      </c>
      <c r="F2" s="102" t="s">
        <v>112</v>
      </c>
      <c r="G2" s="104" t="s">
        <v>111</v>
      </c>
      <c r="H2" s="106" t="s">
        <v>2</v>
      </c>
      <c r="I2" s="107"/>
      <c r="J2" s="108"/>
      <c r="K2" s="109" t="s">
        <v>151</v>
      </c>
      <c r="L2" s="45"/>
    </row>
    <row r="3" spans="1:14" s="1" customFormat="1" ht="60" x14ac:dyDescent="0.25">
      <c r="A3" s="99"/>
      <c r="B3" s="79" t="s">
        <v>6</v>
      </c>
      <c r="C3" s="36" t="s">
        <v>3</v>
      </c>
      <c r="D3" s="80" t="s">
        <v>4</v>
      </c>
      <c r="E3" s="101"/>
      <c r="F3" s="103"/>
      <c r="G3" s="105"/>
      <c r="H3" s="26" t="s">
        <v>148</v>
      </c>
      <c r="I3" s="26" t="s">
        <v>149</v>
      </c>
      <c r="J3" s="26" t="s">
        <v>150</v>
      </c>
      <c r="K3" s="110"/>
      <c r="L3" s="45"/>
    </row>
    <row r="4" spans="1:14" s="1" customFormat="1" x14ac:dyDescent="0.25">
      <c r="A4" s="14">
        <v>1</v>
      </c>
      <c r="B4" s="46" t="s">
        <v>134</v>
      </c>
      <c r="C4" s="35"/>
      <c r="D4" s="21"/>
      <c r="E4" s="64">
        <f t="shared" ref="E4:E28" si="0">D4-C4</f>
        <v>0</v>
      </c>
      <c r="F4" s="76">
        <v>1400</v>
      </c>
      <c r="G4" s="78">
        <v>3</v>
      </c>
      <c r="H4" s="6">
        <f>F4*G4</f>
        <v>4200</v>
      </c>
      <c r="I4" s="30"/>
      <c r="J4" s="30">
        <v>4200</v>
      </c>
      <c r="K4" s="52">
        <f>I4+J4-H4</f>
        <v>0</v>
      </c>
      <c r="L4" s="45"/>
    </row>
    <row r="5" spans="1:14" s="1" customFormat="1" x14ac:dyDescent="0.25">
      <c r="A5" s="53">
        <v>2</v>
      </c>
      <c r="B5" s="46" t="s">
        <v>7</v>
      </c>
      <c r="C5" s="62">
        <v>200</v>
      </c>
      <c r="D5" s="62">
        <v>200</v>
      </c>
      <c r="E5" s="64">
        <f t="shared" si="0"/>
        <v>0</v>
      </c>
      <c r="F5" s="18"/>
      <c r="G5" s="17"/>
      <c r="H5" s="2"/>
      <c r="I5" s="3"/>
      <c r="J5" s="3"/>
      <c r="K5" s="4"/>
      <c r="L5" s="45"/>
    </row>
    <row r="6" spans="1:14" ht="14.45" customHeight="1" x14ac:dyDescent="0.25">
      <c r="A6" s="54">
        <v>3</v>
      </c>
      <c r="B6" s="46" t="s">
        <v>8</v>
      </c>
      <c r="C6" s="62">
        <v>200</v>
      </c>
      <c r="D6" s="62">
        <v>200</v>
      </c>
      <c r="E6" s="64">
        <f t="shared" si="0"/>
        <v>0</v>
      </c>
      <c r="F6" s="18">
        <v>1400</v>
      </c>
      <c r="G6" s="17">
        <v>24</v>
      </c>
      <c r="H6" s="2">
        <f t="shared" ref="H6:H11" si="1">15600+F6*G6</f>
        <v>49200</v>
      </c>
      <c r="I6" s="37">
        <f>1200+2400+12000+10000+10000</f>
        <v>35600</v>
      </c>
      <c r="J6" s="7">
        <v>15000.82</v>
      </c>
      <c r="K6" s="49">
        <f>I6+J6-H6</f>
        <v>1400.8199999999997</v>
      </c>
      <c r="M6" s="39" t="s">
        <v>113</v>
      </c>
      <c r="N6" s="5">
        <v>0</v>
      </c>
    </row>
    <row r="7" spans="1:14" ht="14.45" customHeight="1" x14ac:dyDescent="0.25">
      <c r="A7" s="54">
        <v>4</v>
      </c>
      <c r="B7" s="46" t="s">
        <v>9</v>
      </c>
      <c r="C7" s="62">
        <v>200</v>
      </c>
      <c r="D7" s="62">
        <v>200</v>
      </c>
      <c r="E7" s="64">
        <f t="shared" si="0"/>
        <v>0</v>
      </c>
      <c r="F7" s="18">
        <v>1400</v>
      </c>
      <c r="G7" s="17">
        <v>24</v>
      </c>
      <c r="H7" s="2">
        <f t="shared" si="1"/>
        <v>49200</v>
      </c>
      <c r="I7" s="37">
        <f>6385+1277+1277+1277+2554+2400+2400+3000+2800+2800+2800+2800+4200+2800+2800+2800+2800</f>
        <v>47170</v>
      </c>
      <c r="J7" s="7"/>
      <c r="K7" s="8">
        <f t="shared" ref="K7:K28" si="2">I7+J7-H7</f>
        <v>-2030</v>
      </c>
      <c r="M7" s="75" t="s">
        <v>124</v>
      </c>
      <c r="N7" s="5">
        <v>-770</v>
      </c>
    </row>
    <row r="8" spans="1:14" ht="14.45" customHeight="1" x14ac:dyDescent="0.25">
      <c r="A8" s="54">
        <v>5</v>
      </c>
      <c r="B8" s="46" t="s">
        <v>10</v>
      </c>
      <c r="C8" s="62">
        <v>200</v>
      </c>
      <c r="D8" s="63">
        <v>200</v>
      </c>
      <c r="E8" s="64">
        <f t="shared" si="0"/>
        <v>0</v>
      </c>
      <c r="F8" s="18">
        <v>1400</v>
      </c>
      <c r="G8" s="17">
        <v>24</v>
      </c>
      <c r="H8" s="2">
        <f t="shared" si="1"/>
        <v>49200</v>
      </c>
      <c r="I8" s="37">
        <f>5108+6385+2477+1200+1200+1400+7000+1400+1400+1400+1400+1400+1400+1400+2800+5600+2800</f>
        <v>45770</v>
      </c>
      <c r="J8" s="7"/>
      <c r="K8" s="56">
        <f t="shared" si="2"/>
        <v>-3430</v>
      </c>
      <c r="M8" s="75" t="s">
        <v>124</v>
      </c>
      <c r="N8" s="5">
        <v>-770</v>
      </c>
    </row>
    <row r="9" spans="1:14" ht="14.45" customHeight="1" x14ac:dyDescent="0.25">
      <c r="A9" s="15">
        <v>6</v>
      </c>
      <c r="B9" s="46" t="s">
        <v>11</v>
      </c>
      <c r="C9" s="62"/>
      <c r="D9" s="63"/>
      <c r="E9" s="64">
        <f t="shared" si="0"/>
        <v>0</v>
      </c>
      <c r="F9" s="18">
        <v>1400</v>
      </c>
      <c r="G9" s="17">
        <v>24</v>
      </c>
      <c r="H9" s="6">
        <f t="shared" si="1"/>
        <v>49200</v>
      </c>
      <c r="I9" s="3">
        <f>37601+2800+4200</f>
        <v>44601</v>
      </c>
      <c r="J9" s="7"/>
      <c r="K9" s="56">
        <f t="shared" si="2"/>
        <v>-4599</v>
      </c>
      <c r="M9" s="75" t="s">
        <v>126</v>
      </c>
      <c r="N9" s="5">
        <v>-1001</v>
      </c>
    </row>
    <row r="10" spans="1:14" ht="14.45" customHeight="1" x14ac:dyDescent="0.25">
      <c r="A10" s="54">
        <v>7</v>
      </c>
      <c r="B10" s="46" t="s">
        <v>12</v>
      </c>
      <c r="C10" s="62">
        <v>200</v>
      </c>
      <c r="D10" s="63">
        <v>200</v>
      </c>
      <c r="E10" s="64">
        <f t="shared" si="0"/>
        <v>0</v>
      </c>
      <c r="F10" s="18">
        <v>1400</v>
      </c>
      <c r="G10" s="17">
        <v>24</v>
      </c>
      <c r="H10" s="2">
        <f t="shared" si="1"/>
        <v>49200</v>
      </c>
      <c r="I10" s="3">
        <f>11200+3200+12500+13900+5600</f>
        <v>46400</v>
      </c>
      <c r="J10" s="7"/>
      <c r="K10" s="59">
        <f t="shared" si="2"/>
        <v>-2800</v>
      </c>
      <c r="M10" s="39" t="s">
        <v>113</v>
      </c>
      <c r="N10" s="5">
        <v>0</v>
      </c>
    </row>
    <row r="11" spans="1:14" ht="14.45" customHeight="1" x14ac:dyDescent="0.25">
      <c r="A11" s="15">
        <v>8</v>
      </c>
      <c r="B11" s="46" t="s">
        <v>13</v>
      </c>
      <c r="C11" s="62"/>
      <c r="D11" s="63"/>
      <c r="E11" s="64">
        <f t="shared" si="0"/>
        <v>0</v>
      </c>
      <c r="F11" s="18">
        <v>1400</v>
      </c>
      <c r="G11" s="17">
        <v>24</v>
      </c>
      <c r="H11" s="6">
        <f t="shared" si="1"/>
        <v>49200</v>
      </c>
      <c r="I11" s="3"/>
      <c r="J11" s="7"/>
      <c r="K11" s="65">
        <f t="shared" si="2"/>
        <v>-49200</v>
      </c>
      <c r="M11" s="75" t="s">
        <v>126</v>
      </c>
      <c r="N11" s="5">
        <v>-1001</v>
      </c>
    </row>
    <row r="12" spans="1:14" ht="14.45" customHeight="1" x14ac:dyDescent="0.25">
      <c r="A12" s="40">
        <v>9</v>
      </c>
      <c r="B12" s="46" t="s">
        <v>114</v>
      </c>
      <c r="C12" s="21"/>
      <c r="D12" s="21"/>
      <c r="E12" s="64">
        <f t="shared" si="0"/>
        <v>0</v>
      </c>
      <c r="F12" s="18">
        <v>1400</v>
      </c>
      <c r="G12" s="17">
        <v>24</v>
      </c>
      <c r="H12" s="6">
        <f>2400+F12*G12</f>
        <v>36000</v>
      </c>
      <c r="I12" s="7">
        <f>1277+15277</f>
        <v>16554</v>
      </c>
      <c r="J12" s="7">
        <v>7000</v>
      </c>
      <c r="K12" s="56">
        <f t="shared" si="2"/>
        <v>-12446</v>
      </c>
      <c r="M12" s="75" t="s">
        <v>127</v>
      </c>
      <c r="N12" s="5">
        <v>-154</v>
      </c>
    </row>
    <row r="13" spans="1:14" ht="14.45" customHeight="1" x14ac:dyDescent="0.25">
      <c r="A13" s="54">
        <v>10</v>
      </c>
      <c r="B13" s="46" t="s">
        <v>14</v>
      </c>
      <c r="C13" s="62">
        <v>200</v>
      </c>
      <c r="D13" s="63">
        <v>200</v>
      </c>
      <c r="E13" s="64">
        <f t="shared" si="0"/>
        <v>0</v>
      </c>
      <c r="F13" s="18">
        <v>1400</v>
      </c>
      <c r="G13" s="17">
        <v>24</v>
      </c>
      <c r="H13" s="2">
        <f>15600+F13*G13</f>
        <v>49200</v>
      </c>
      <c r="I13" s="3">
        <f>7200+8000+1200+15400</f>
        <v>31800</v>
      </c>
      <c r="J13" s="7"/>
      <c r="K13" s="56">
        <f t="shared" si="2"/>
        <v>-17400</v>
      </c>
      <c r="M13" s="75" t="s">
        <v>124</v>
      </c>
      <c r="N13" s="5">
        <v>-770</v>
      </c>
    </row>
    <row r="14" spans="1:14" ht="14.45" customHeight="1" x14ac:dyDescent="0.25">
      <c r="A14" s="54">
        <v>11</v>
      </c>
      <c r="B14" s="46" t="s">
        <v>15</v>
      </c>
      <c r="C14" s="62">
        <v>200</v>
      </c>
      <c r="D14" s="63">
        <v>200</v>
      </c>
      <c r="E14" s="64">
        <f t="shared" si="0"/>
        <v>0</v>
      </c>
      <c r="F14" s="18">
        <v>1400</v>
      </c>
      <c r="G14" s="17">
        <v>24</v>
      </c>
      <c r="H14" s="2">
        <f t="shared" ref="H14:H15" si="3">15600+F14*G14</f>
        <v>49200</v>
      </c>
      <c r="I14" s="3">
        <f>12770+1200+1200+2400+5000</f>
        <v>22570</v>
      </c>
      <c r="J14" s="7"/>
      <c r="K14" s="56">
        <f t="shared" si="2"/>
        <v>-26630</v>
      </c>
      <c r="M14" s="75" t="s">
        <v>124</v>
      </c>
      <c r="N14" s="5">
        <v>-770</v>
      </c>
    </row>
    <row r="15" spans="1:14" ht="14.45" customHeight="1" x14ac:dyDescent="0.25">
      <c r="A15" s="54">
        <v>12</v>
      </c>
      <c r="B15" s="46" t="s">
        <v>16</v>
      </c>
      <c r="C15" s="62">
        <v>200</v>
      </c>
      <c r="D15" s="63">
        <v>200</v>
      </c>
      <c r="E15" s="64">
        <f t="shared" si="0"/>
        <v>0</v>
      </c>
      <c r="F15" s="18">
        <v>1400</v>
      </c>
      <c r="G15" s="17">
        <v>24</v>
      </c>
      <c r="H15" s="2">
        <f t="shared" si="3"/>
        <v>49200</v>
      </c>
      <c r="I15" s="3">
        <f>15324+5246+11200+16800</f>
        <v>48570</v>
      </c>
      <c r="J15" s="7"/>
      <c r="K15" s="8">
        <f t="shared" si="2"/>
        <v>-630</v>
      </c>
      <c r="M15" s="75" t="s">
        <v>124</v>
      </c>
      <c r="N15" s="5">
        <v>-770</v>
      </c>
    </row>
    <row r="16" spans="1:14" ht="14.45" customHeight="1" x14ac:dyDescent="0.25">
      <c r="A16" s="54">
        <v>13</v>
      </c>
      <c r="B16" s="46" t="s">
        <v>17</v>
      </c>
      <c r="C16" s="62">
        <v>200</v>
      </c>
      <c r="D16" s="63">
        <v>200</v>
      </c>
      <c r="E16" s="64">
        <f t="shared" si="0"/>
        <v>0</v>
      </c>
      <c r="F16" s="18">
        <v>1400</v>
      </c>
      <c r="G16" s="17">
        <v>24</v>
      </c>
      <c r="H16" s="2">
        <f>15600+F16*G16</f>
        <v>49200</v>
      </c>
      <c r="I16" s="3">
        <f>6000+3600+3600+3600+6000+4000+2800+5600+4200+4200</f>
        <v>43600</v>
      </c>
      <c r="J16" s="7"/>
      <c r="K16" s="56">
        <f t="shared" si="2"/>
        <v>-5600</v>
      </c>
      <c r="M16" s="39" t="s">
        <v>113</v>
      </c>
      <c r="N16" s="5">
        <v>0</v>
      </c>
    </row>
    <row r="17" spans="1:14" ht="14.45" customHeight="1" x14ac:dyDescent="0.25">
      <c r="A17" s="15">
        <v>14</v>
      </c>
      <c r="B17" s="46" t="s">
        <v>18</v>
      </c>
      <c r="C17" s="62"/>
      <c r="D17" s="63"/>
      <c r="E17" s="64">
        <f t="shared" si="0"/>
        <v>0</v>
      </c>
      <c r="F17" s="18">
        <v>1400</v>
      </c>
      <c r="G17" s="17">
        <v>24</v>
      </c>
      <c r="H17" s="6">
        <f>15600+F17*G17</f>
        <v>49200</v>
      </c>
      <c r="I17" s="3">
        <f>5000+20000</f>
        <v>25000</v>
      </c>
      <c r="J17" s="7"/>
      <c r="K17" s="56">
        <f t="shared" si="2"/>
        <v>-24200</v>
      </c>
      <c r="M17" s="75" t="s">
        <v>126</v>
      </c>
      <c r="N17" s="5">
        <v>-1001</v>
      </c>
    </row>
    <row r="18" spans="1:14" ht="14.45" customHeight="1" x14ac:dyDescent="0.25">
      <c r="A18" s="54">
        <v>15</v>
      </c>
      <c r="B18" s="46" t="s">
        <v>19</v>
      </c>
      <c r="C18" s="62">
        <v>200</v>
      </c>
      <c r="D18" s="63">
        <v>200</v>
      </c>
      <c r="E18" s="64">
        <f t="shared" si="0"/>
        <v>0</v>
      </c>
      <c r="F18" s="18">
        <v>1400</v>
      </c>
      <c r="G18" s="17">
        <v>24</v>
      </c>
      <c r="H18" s="2">
        <f>15600+F18*G18</f>
        <v>49200</v>
      </c>
      <c r="I18" s="3">
        <f>12000+2000+3800+4200+1400+2770+2800+7000+5700+1450+1900</f>
        <v>45020</v>
      </c>
      <c r="J18" s="7">
        <v>423.27</v>
      </c>
      <c r="K18" s="56">
        <f t="shared" si="2"/>
        <v>-3756.7300000000032</v>
      </c>
      <c r="M18" s="75" t="s">
        <v>124</v>
      </c>
      <c r="N18" s="5">
        <v>-770</v>
      </c>
    </row>
    <row r="19" spans="1:14" ht="14.45" customHeight="1" x14ac:dyDescent="0.25">
      <c r="A19" s="54">
        <v>16</v>
      </c>
      <c r="B19" s="46" t="s">
        <v>20</v>
      </c>
      <c r="C19" s="62">
        <v>200</v>
      </c>
      <c r="D19" s="63">
        <v>200</v>
      </c>
      <c r="E19" s="64">
        <f t="shared" si="0"/>
        <v>0</v>
      </c>
      <c r="F19" s="18">
        <v>1400</v>
      </c>
      <c r="G19" s="17">
        <v>24</v>
      </c>
      <c r="H19" s="2">
        <f>15600+F19*G19</f>
        <v>49200</v>
      </c>
      <c r="I19" s="3">
        <f>2400+3600+1200+3600+2400+3800+4200+2800+4200+2800+2800+4200+2800+2800+4200</f>
        <v>47800</v>
      </c>
      <c r="J19" s="7"/>
      <c r="K19" s="8">
        <f t="shared" si="2"/>
        <v>-1400</v>
      </c>
      <c r="M19" s="39" t="s">
        <v>113</v>
      </c>
      <c r="N19" s="5">
        <v>0</v>
      </c>
    </row>
    <row r="20" spans="1:14" ht="14.45" customHeight="1" x14ac:dyDescent="0.25">
      <c r="A20" s="54">
        <v>17</v>
      </c>
      <c r="B20" s="119" t="s">
        <v>21</v>
      </c>
      <c r="C20" s="111">
        <v>200</v>
      </c>
      <c r="D20" s="113"/>
      <c r="E20" s="121">
        <f t="shared" si="0"/>
        <v>-200</v>
      </c>
      <c r="F20" s="18">
        <v>1400</v>
      </c>
      <c r="G20" s="17">
        <v>24</v>
      </c>
      <c r="H20" s="2">
        <f t="shared" ref="H20:H28" si="4">15600+F20*G20</f>
        <v>49200</v>
      </c>
      <c r="I20" s="3">
        <f>12500+25000+2500+2500</f>
        <v>42500</v>
      </c>
      <c r="J20" s="7"/>
      <c r="K20" s="56">
        <f t="shared" si="2"/>
        <v>-6700</v>
      </c>
      <c r="M20" s="75" t="s">
        <v>126</v>
      </c>
      <c r="N20" s="5">
        <v>-1001</v>
      </c>
    </row>
    <row r="21" spans="1:14" ht="14.45" customHeight="1" x14ac:dyDescent="0.25">
      <c r="A21" s="54">
        <v>18</v>
      </c>
      <c r="B21" s="120"/>
      <c r="C21" s="112"/>
      <c r="D21" s="114"/>
      <c r="E21" s="122"/>
      <c r="F21" s="18">
        <v>1400</v>
      </c>
      <c r="G21" s="17">
        <v>24</v>
      </c>
      <c r="H21" s="2">
        <f t="shared" si="4"/>
        <v>49200</v>
      </c>
      <c r="I21" s="3">
        <f>12500+25000+2500+2500</f>
        <v>42500</v>
      </c>
      <c r="J21" s="7"/>
      <c r="K21" s="56">
        <f t="shared" si="2"/>
        <v>-6700</v>
      </c>
      <c r="M21" s="75" t="s">
        <v>126</v>
      </c>
      <c r="N21" s="5">
        <v>-1001</v>
      </c>
    </row>
    <row r="22" spans="1:14" ht="14.45" customHeight="1" x14ac:dyDescent="0.25">
      <c r="A22" s="54">
        <v>19</v>
      </c>
      <c r="B22" s="46" t="s">
        <v>22</v>
      </c>
      <c r="C22" s="62">
        <v>200</v>
      </c>
      <c r="D22" s="63">
        <v>200</v>
      </c>
      <c r="E22" s="64">
        <f t="shared" si="0"/>
        <v>0</v>
      </c>
      <c r="F22" s="18">
        <v>1400</v>
      </c>
      <c r="G22" s="17">
        <v>24</v>
      </c>
      <c r="H22" s="2">
        <f t="shared" si="4"/>
        <v>49200</v>
      </c>
      <c r="I22" s="3">
        <f>1200+2400+2400+2400+2400+2400+2400+2800+2800+2800+2800+2800+2800+2800+2800+2800+2800+2800</f>
        <v>46400</v>
      </c>
      <c r="J22" s="7"/>
      <c r="K22" s="8">
        <f t="shared" si="2"/>
        <v>-2800</v>
      </c>
      <c r="M22" s="39" t="s">
        <v>113</v>
      </c>
      <c r="N22" s="5">
        <v>0</v>
      </c>
    </row>
    <row r="23" spans="1:14" ht="14.45" customHeight="1" x14ac:dyDescent="0.25">
      <c r="A23" s="15">
        <v>20</v>
      </c>
      <c r="B23" s="46" t="s">
        <v>23</v>
      </c>
      <c r="C23" s="62"/>
      <c r="D23" s="63"/>
      <c r="E23" s="64">
        <f t="shared" si="0"/>
        <v>0</v>
      </c>
      <c r="F23" s="18">
        <v>1400</v>
      </c>
      <c r="G23" s="17">
        <v>24</v>
      </c>
      <c r="H23" s="6">
        <f t="shared" si="4"/>
        <v>49200</v>
      </c>
      <c r="I23" s="3">
        <f>6000+6000+15000</f>
        <v>27000</v>
      </c>
      <c r="J23" s="7"/>
      <c r="K23" s="56">
        <f t="shared" si="2"/>
        <v>-22200</v>
      </c>
      <c r="M23" s="75" t="s">
        <v>126</v>
      </c>
      <c r="N23" s="5">
        <v>-1001</v>
      </c>
    </row>
    <row r="24" spans="1:14" ht="14.45" customHeight="1" x14ac:dyDescent="0.25">
      <c r="A24" s="54">
        <v>21</v>
      </c>
      <c r="B24" s="46" t="s">
        <v>24</v>
      </c>
      <c r="C24" s="62">
        <v>200</v>
      </c>
      <c r="D24" s="63">
        <v>200</v>
      </c>
      <c r="E24" s="64">
        <f t="shared" si="0"/>
        <v>0</v>
      </c>
      <c r="F24" s="18">
        <v>1400</v>
      </c>
      <c r="G24" s="17">
        <v>24</v>
      </c>
      <c r="H24" s="2">
        <f t="shared" si="4"/>
        <v>49200</v>
      </c>
      <c r="I24" s="37">
        <f>2400+1200+2400+2400+2400+1200+1200+1200+1200+1200+2400+600+2800+1400+1400+1400+2800+2800+2800+2800+1400+1400+1400+1400+2800+1400</f>
        <v>47800</v>
      </c>
      <c r="J24" s="7">
        <v>1400</v>
      </c>
      <c r="K24" s="49">
        <f t="shared" si="2"/>
        <v>0</v>
      </c>
      <c r="M24" s="39" t="s">
        <v>113</v>
      </c>
      <c r="N24" s="5">
        <v>0</v>
      </c>
    </row>
    <row r="25" spans="1:14" ht="14.45" customHeight="1" x14ac:dyDescent="0.25">
      <c r="A25" s="54">
        <v>22</v>
      </c>
      <c r="B25" s="46" t="s">
        <v>25</v>
      </c>
      <c r="C25" s="62">
        <v>200</v>
      </c>
      <c r="D25" s="63"/>
      <c r="E25" s="66">
        <f t="shared" si="0"/>
        <v>-200</v>
      </c>
      <c r="F25" s="18">
        <v>1400</v>
      </c>
      <c r="G25" s="17">
        <v>24</v>
      </c>
      <c r="H25" s="2">
        <f t="shared" si="4"/>
        <v>49200</v>
      </c>
      <c r="I25" s="37">
        <f>6000+1200+2400+4800+1200+1200+1200+1400+2800+2800+1400+5600+1400+4202+8400+500+1400</f>
        <v>47902</v>
      </c>
      <c r="J25" s="7">
        <v>1400</v>
      </c>
      <c r="K25" s="49">
        <f t="shared" si="2"/>
        <v>102</v>
      </c>
      <c r="M25" s="75" t="s">
        <v>126</v>
      </c>
      <c r="N25" s="5">
        <v>-1001</v>
      </c>
    </row>
    <row r="26" spans="1:14" ht="14.45" customHeight="1" x14ac:dyDescent="0.25">
      <c r="A26" s="54">
        <v>23</v>
      </c>
      <c r="B26" s="46" t="s">
        <v>26</v>
      </c>
      <c r="C26" s="62">
        <v>200</v>
      </c>
      <c r="D26" s="63">
        <v>200</v>
      </c>
      <c r="E26" s="64">
        <f t="shared" si="0"/>
        <v>0</v>
      </c>
      <c r="F26" s="18">
        <v>1400</v>
      </c>
      <c r="G26" s="17">
        <v>24</v>
      </c>
      <c r="H26" s="2">
        <f t="shared" si="4"/>
        <v>49200</v>
      </c>
      <c r="I26" s="37">
        <f>1200+1200+1200+8400+1200+1200+15200+1400+7000+1400+5600</f>
        <v>45000</v>
      </c>
      <c r="J26" s="7"/>
      <c r="K26" s="56">
        <f t="shared" si="2"/>
        <v>-4200</v>
      </c>
      <c r="M26" s="39" t="s">
        <v>113</v>
      </c>
      <c r="N26" s="5">
        <v>0</v>
      </c>
    </row>
    <row r="27" spans="1:14" ht="14.45" customHeight="1" x14ac:dyDescent="0.25">
      <c r="A27" s="54">
        <v>24</v>
      </c>
      <c r="B27" s="46" t="s">
        <v>135</v>
      </c>
      <c r="C27" s="62">
        <v>200</v>
      </c>
      <c r="D27" s="63">
        <v>200</v>
      </c>
      <c r="E27" s="64">
        <f t="shared" si="0"/>
        <v>0</v>
      </c>
      <c r="F27" s="18">
        <v>1400</v>
      </c>
      <c r="G27" s="17">
        <v>24</v>
      </c>
      <c r="H27" s="2">
        <f t="shared" si="4"/>
        <v>49200</v>
      </c>
      <c r="I27" s="3">
        <f>16000+6500+7200+6000+5000+2000</f>
        <v>42700</v>
      </c>
      <c r="J27" s="7"/>
      <c r="K27" s="56">
        <f t="shared" si="2"/>
        <v>-6500</v>
      </c>
      <c r="M27" s="75" t="s">
        <v>124</v>
      </c>
      <c r="N27" s="5">
        <v>-770</v>
      </c>
    </row>
    <row r="28" spans="1:14" ht="14.45" customHeight="1" x14ac:dyDescent="0.25">
      <c r="A28" s="15">
        <v>25</v>
      </c>
      <c r="B28" s="46" t="s">
        <v>137</v>
      </c>
      <c r="C28" s="62"/>
      <c r="D28" s="63"/>
      <c r="E28" s="64">
        <f t="shared" si="0"/>
        <v>0</v>
      </c>
      <c r="F28" s="18">
        <v>1400</v>
      </c>
      <c r="G28" s="17">
        <v>24</v>
      </c>
      <c r="H28" s="6">
        <f t="shared" si="4"/>
        <v>49200</v>
      </c>
      <c r="I28" s="3">
        <f>19000+15000+5000+5000+5200</f>
        <v>49200</v>
      </c>
      <c r="J28" s="7"/>
      <c r="K28" s="49">
        <f t="shared" si="2"/>
        <v>0</v>
      </c>
      <c r="M28" s="75" t="s">
        <v>126</v>
      </c>
      <c r="N28" s="5">
        <v>-1001</v>
      </c>
    </row>
    <row r="29" spans="1:14" hidden="1" x14ac:dyDescent="0.25">
      <c r="A29" s="13">
        <v>26</v>
      </c>
      <c r="B29" s="47" t="s">
        <v>27</v>
      </c>
      <c r="C29" s="36"/>
      <c r="D29" s="80"/>
      <c r="E29" s="81"/>
      <c r="F29" s="42"/>
      <c r="G29" s="17">
        <v>24</v>
      </c>
      <c r="H29" s="27">
        <v>0</v>
      </c>
      <c r="I29" s="26"/>
      <c r="J29" s="26"/>
      <c r="K29" s="82">
        <f>I29+J29-H29</f>
        <v>0</v>
      </c>
      <c r="M29" s="39"/>
    </row>
    <row r="30" spans="1:14" ht="14.45" customHeight="1" x14ac:dyDescent="0.25">
      <c r="A30" s="54">
        <v>27</v>
      </c>
      <c r="B30" s="46" t="s">
        <v>28</v>
      </c>
      <c r="C30" s="62">
        <v>200</v>
      </c>
      <c r="D30" s="63">
        <v>200</v>
      </c>
      <c r="E30" s="64">
        <f t="shared" ref="E30:E93" si="5">D30-C30</f>
        <v>0</v>
      </c>
      <c r="F30" s="18">
        <v>1400</v>
      </c>
      <c r="G30" s="17">
        <v>24</v>
      </c>
      <c r="H30" s="2">
        <f t="shared" ref="H30:H41" si="6">15600+F30*G30</f>
        <v>49200</v>
      </c>
      <c r="I30" s="3">
        <f>2400+1200+1200+1200+1200+2400+1200+2400+1200+2400+1600+2800+1400+1400+1400+2800+1400+1400+1400+1400+2800+1400+1200+3000+1400+1400+1400+1400</f>
        <v>47800</v>
      </c>
      <c r="J30" s="7">
        <v>1400</v>
      </c>
      <c r="K30" s="49">
        <f t="shared" ref="K30:K79" si="7">I30+J30-H30</f>
        <v>0</v>
      </c>
      <c r="M30" s="39" t="s">
        <v>113</v>
      </c>
      <c r="N30" s="5">
        <v>0</v>
      </c>
    </row>
    <row r="31" spans="1:14" ht="14.45" customHeight="1" x14ac:dyDescent="0.25">
      <c r="A31" s="15">
        <v>28</v>
      </c>
      <c r="B31" s="46" t="s">
        <v>29</v>
      </c>
      <c r="C31" s="62"/>
      <c r="D31" s="63"/>
      <c r="E31" s="64">
        <f t="shared" si="5"/>
        <v>0</v>
      </c>
      <c r="F31" s="18">
        <v>1400</v>
      </c>
      <c r="G31" s="17">
        <v>24</v>
      </c>
      <c r="H31" s="6">
        <f t="shared" si="6"/>
        <v>49200</v>
      </c>
      <c r="I31" s="3">
        <f>2554+2554+2554+5108+1277+1277+1277+1277+2554+1277+5000+2500+3700+2500+2000+2000+2000</f>
        <v>41409</v>
      </c>
      <c r="J31" s="7"/>
      <c r="K31" s="65">
        <f t="shared" si="7"/>
        <v>-7791</v>
      </c>
      <c r="M31" s="75" t="s">
        <v>126</v>
      </c>
      <c r="N31" s="5">
        <v>-1001</v>
      </c>
    </row>
    <row r="32" spans="1:14" ht="14.45" customHeight="1" x14ac:dyDescent="0.25">
      <c r="A32" s="54">
        <v>29</v>
      </c>
      <c r="B32" s="46" t="s">
        <v>30</v>
      </c>
      <c r="C32" s="62">
        <v>200</v>
      </c>
      <c r="D32" s="63">
        <v>200</v>
      </c>
      <c r="E32" s="64">
        <f t="shared" si="5"/>
        <v>0</v>
      </c>
      <c r="F32" s="18">
        <v>1400</v>
      </c>
      <c r="G32" s="17">
        <v>24</v>
      </c>
      <c r="H32" s="2">
        <f t="shared" si="6"/>
        <v>49200</v>
      </c>
      <c r="I32" s="3">
        <f>9600+20000</f>
        <v>29600</v>
      </c>
      <c r="J32" s="7"/>
      <c r="K32" s="56">
        <f t="shared" si="7"/>
        <v>-19600</v>
      </c>
      <c r="M32" s="39" t="s">
        <v>113</v>
      </c>
      <c r="N32" s="5">
        <v>0</v>
      </c>
    </row>
    <row r="33" spans="1:14" ht="14.45" customHeight="1" x14ac:dyDescent="0.25">
      <c r="A33" s="54">
        <v>30</v>
      </c>
      <c r="B33" s="46" t="s">
        <v>31</v>
      </c>
      <c r="C33" s="62">
        <v>200</v>
      </c>
      <c r="D33" s="63">
        <v>200</v>
      </c>
      <c r="E33" s="64">
        <f t="shared" si="5"/>
        <v>0</v>
      </c>
      <c r="F33" s="18">
        <v>1400</v>
      </c>
      <c r="G33" s="17">
        <v>24</v>
      </c>
      <c r="H33" s="2">
        <f t="shared" si="6"/>
        <v>49200</v>
      </c>
      <c r="I33" s="3">
        <f>11000+1400+23000+10000</f>
        <v>45400</v>
      </c>
      <c r="J33" s="7"/>
      <c r="K33" s="56">
        <f t="shared" si="7"/>
        <v>-3800</v>
      </c>
      <c r="M33" s="75" t="s">
        <v>124</v>
      </c>
      <c r="N33" s="5">
        <v>-770</v>
      </c>
    </row>
    <row r="34" spans="1:14" ht="14.45" customHeight="1" x14ac:dyDescent="0.25">
      <c r="A34" s="54">
        <v>31</v>
      </c>
      <c r="B34" s="46" t="s">
        <v>32</v>
      </c>
      <c r="C34" s="62">
        <v>200</v>
      </c>
      <c r="D34" s="63">
        <v>200</v>
      </c>
      <c r="E34" s="64">
        <f t="shared" si="5"/>
        <v>0</v>
      </c>
      <c r="F34" s="18">
        <v>1400</v>
      </c>
      <c r="G34" s="17">
        <v>24</v>
      </c>
      <c r="H34" s="2">
        <f t="shared" si="6"/>
        <v>49200</v>
      </c>
      <c r="I34" s="3">
        <f>1200+1200+1200+1200+1200+1200+1200+2400+2400+1200+1200+4200+1400+1400+1400+1400+2800+1400+1400+2800+2800+1400+1400+1400+1400+2800+1400</f>
        <v>46400</v>
      </c>
      <c r="J34" s="7"/>
      <c r="K34" s="8">
        <f t="shared" si="7"/>
        <v>-2800</v>
      </c>
      <c r="M34" s="39" t="s">
        <v>113</v>
      </c>
      <c r="N34" s="5">
        <v>0</v>
      </c>
    </row>
    <row r="35" spans="1:14" ht="14.45" customHeight="1" x14ac:dyDescent="0.25">
      <c r="A35" s="54">
        <v>32</v>
      </c>
      <c r="B35" s="46" t="s">
        <v>33</v>
      </c>
      <c r="C35" s="62">
        <v>200</v>
      </c>
      <c r="D35" s="63">
        <v>200</v>
      </c>
      <c r="E35" s="64">
        <f t="shared" si="5"/>
        <v>0</v>
      </c>
      <c r="F35" s="18">
        <v>1400</v>
      </c>
      <c r="G35" s="17">
        <v>24</v>
      </c>
      <c r="H35" s="2">
        <f t="shared" si="6"/>
        <v>49200</v>
      </c>
      <c r="I35" s="3">
        <f>7200+7800+13200+18200</f>
        <v>46400</v>
      </c>
      <c r="J35" s="7"/>
      <c r="K35" s="8">
        <f t="shared" si="7"/>
        <v>-2800</v>
      </c>
      <c r="M35" s="39" t="s">
        <v>113</v>
      </c>
      <c r="N35" s="5">
        <v>0</v>
      </c>
    </row>
    <row r="36" spans="1:14" ht="13.15" customHeight="1" x14ac:dyDescent="0.25">
      <c r="A36" s="54">
        <v>33</v>
      </c>
      <c r="B36" s="46" t="s">
        <v>34</v>
      </c>
      <c r="C36" s="62">
        <v>200</v>
      </c>
      <c r="D36" s="63">
        <v>200</v>
      </c>
      <c r="E36" s="64">
        <f t="shared" si="5"/>
        <v>0</v>
      </c>
      <c r="F36" s="18">
        <v>1400</v>
      </c>
      <c r="G36" s="17">
        <v>24</v>
      </c>
      <c r="H36" s="2">
        <f t="shared" si="6"/>
        <v>49200</v>
      </c>
      <c r="I36" s="3">
        <f>1200+2400+1200+1200+1200+1200+1200+1200+1200+1200+1200+4800+2400+3800+2800+4200+5000+600+4200+7000</f>
        <v>49200</v>
      </c>
      <c r="J36" s="7"/>
      <c r="K36" s="49">
        <f t="shared" si="7"/>
        <v>0</v>
      </c>
      <c r="M36" s="39" t="s">
        <v>113</v>
      </c>
      <c r="N36" s="5">
        <v>0</v>
      </c>
    </row>
    <row r="37" spans="1:14" ht="14.45" customHeight="1" x14ac:dyDescent="0.25">
      <c r="A37" s="54">
        <v>34</v>
      </c>
      <c r="B37" s="61" t="s">
        <v>35</v>
      </c>
      <c r="C37" s="62">
        <v>200</v>
      </c>
      <c r="D37" s="63">
        <v>200</v>
      </c>
      <c r="E37" s="64">
        <f t="shared" si="5"/>
        <v>0</v>
      </c>
      <c r="F37" s="18">
        <v>1400</v>
      </c>
      <c r="G37" s="17">
        <v>24</v>
      </c>
      <c r="H37" s="2">
        <f t="shared" si="6"/>
        <v>49200</v>
      </c>
      <c r="I37" s="3">
        <f>1200+1200+2400+1200+1200+1200+2400+1200+1200+1200+2400+1600+1400+1400+1400+1400+1400+1400+1400+1400+2800+1400+2800+1400+2800+1400+1400+2800+1400</f>
        <v>47800</v>
      </c>
      <c r="J37" s="7"/>
      <c r="K37" s="8">
        <f t="shared" si="7"/>
        <v>-1400</v>
      </c>
      <c r="M37" s="39" t="s">
        <v>113</v>
      </c>
      <c r="N37" s="5">
        <v>0</v>
      </c>
    </row>
    <row r="38" spans="1:14" ht="14.45" customHeight="1" x14ac:dyDescent="0.25">
      <c r="A38" s="15">
        <v>35</v>
      </c>
      <c r="B38" s="71" t="s">
        <v>119</v>
      </c>
      <c r="C38" s="62"/>
      <c r="D38" s="63"/>
      <c r="E38" s="64">
        <f t="shared" si="5"/>
        <v>0</v>
      </c>
      <c r="F38" s="18">
        <v>1400</v>
      </c>
      <c r="G38" s="17">
        <v>24</v>
      </c>
      <c r="H38" s="6">
        <f t="shared" si="6"/>
        <v>49200</v>
      </c>
      <c r="I38" s="3"/>
      <c r="J38" s="7"/>
      <c r="K38" s="56">
        <f t="shared" si="7"/>
        <v>-49200</v>
      </c>
      <c r="M38" s="75" t="s">
        <v>126</v>
      </c>
      <c r="N38" s="5">
        <v>-1001</v>
      </c>
    </row>
    <row r="39" spans="1:14" ht="14.45" customHeight="1" x14ac:dyDescent="0.25">
      <c r="A39" s="54">
        <v>36</v>
      </c>
      <c r="B39" s="61" t="s">
        <v>36</v>
      </c>
      <c r="C39" s="62">
        <v>200</v>
      </c>
      <c r="D39" s="63"/>
      <c r="E39" s="66">
        <f t="shared" si="5"/>
        <v>-200</v>
      </c>
      <c r="F39" s="18">
        <v>1400</v>
      </c>
      <c r="G39" s="17">
        <v>24</v>
      </c>
      <c r="H39" s="2">
        <f t="shared" si="6"/>
        <v>49200</v>
      </c>
      <c r="I39" s="3">
        <f>1277+6385+1277+3677+4000+4000+11400+1154+4200+4200+3430+2800</f>
        <v>47800</v>
      </c>
      <c r="J39" s="7"/>
      <c r="K39" s="8">
        <f>I39+J39-H39</f>
        <v>-1400</v>
      </c>
      <c r="M39" s="75" t="s">
        <v>124</v>
      </c>
      <c r="N39" s="5">
        <v>-770</v>
      </c>
    </row>
    <row r="40" spans="1:14" ht="14.45" customHeight="1" x14ac:dyDescent="0.25">
      <c r="A40" s="54">
        <v>37</v>
      </c>
      <c r="B40" s="51" t="s">
        <v>37</v>
      </c>
      <c r="C40" s="62">
        <v>200</v>
      </c>
      <c r="D40" s="63">
        <v>200</v>
      </c>
      <c r="E40" s="64">
        <f t="shared" si="5"/>
        <v>0</v>
      </c>
      <c r="F40" s="18">
        <v>1400</v>
      </c>
      <c r="G40" s="17">
        <v>24</v>
      </c>
      <c r="H40" s="2">
        <f t="shared" si="6"/>
        <v>49200</v>
      </c>
      <c r="I40" s="3">
        <f>2400+1200+7200+2400+1200+1200+2400+1200+1200+1200+3600+1400+1400+1400+200+1400+1400+1400+1400+1400+1400+1400+1400+1250+1600+1400</f>
        <v>45050</v>
      </c>
      <c r="J40" s="7">
        <v>1400.88</v>
      </c>
      <c r="K40" s="8">
        <f t="shared" si="7"/>
        <v>-2749.1200000000026</v>
      </c>
      <c r="M40" s="39" t="s">
        <v>113</v>
      </c>
      <c r="N40" s="5">
        <v>0</v>
      </c>
    </row>
    <row r="41" spans="1:14" ht="14.45" customHeight="1" x14ac:dyDescent="0.25">
      <c r="A41" s="54">
        <v>38</v>
      </c>
      <c r="B41" s="83" t="s">
        <v>38</v>
      </c>
      <c r="C41" s="85">
        <v>200</v>
      </c>
      <c r="D41" s="87">
        <v>200</v>
      </c>
      <c r="E41" s="89">
        <f t="shared" si="5"/>
        <v>0</v>
      </c>
      <c r="F41" s="18">
        <v>1400</v>
      </c>
      <c r="G41" s="17">
        <v>24</v>
      </c>
      <c r="H41" s="2">
        <f t="shared" si="6"/>
        <v>49200</v>
      </c>
      <c r="I41" s="94">
        <f>1200+1200+1200+2400+2400+2400+2400+3800+1400+2800+1400+1400+1400+2800+2800+4200+4000+1400+1400</f>
        <v>42000</v>
      </c>
      <c r="J41" s="91">
        <v>1400</v>
      </c>
      <c r="K41" s="93">
        <f t="shared" si="7"/>
        <v>-5800</v>
      </c>
      <c r="M41" s="39" t="s">
        <v>113</v>
      </c>
      <c r="N41" s="5">
        <v>0</v>
      </c>
    </row>
    <row r="42" spans="1:14" ht="14.45" customHeight="1" x14ac:dyDescent="0.25">
      <c r="A42" s="55" t="s">
        <v>122</v>
      </c>
      <c r="B42" s="72" t="s">
        <v>39</v>
      </c>
      <c r="C42" s="62">
        <v>200</v>
      </c>
      <c r="D42" s="63">
        <v>200</v>
      </c>
      <c r="E42" s="64">
        <f t="shared" si="5"/>
        <v>0</v>
      </c>
      <c r="F42" s="21">
        <v>1400</v>
      </c>
      <c r="G42" s="17">
        <v>24</v>
      </c>
      <c r="H42" s="74">
        <f>29800+F42*G42</f>
        <v>63400</v>
      </c>
      <c r="I42" s="3">
        <f>30800+1800+5000+7000+3400+4200+1400+1400+5600</f>
        <v>60600</v>
      </c>
      <c r="J42" s="7"/>
      <c r="K42" s="8">
        <f t="shared" si="7"/>
        <v>-2800</v>
      </c>
      <c r="M42" s="39" t="s">
        <v>113</v>
      </c>
      <c r="N42" s="5">
        <v>0</v>
      </c>
    </row>
    <row r="43" spans="1:14" ht="14.45" customHeight="1" x14ac:dyDescent="0.25">
      <c r="A43" s="55">
        <v>41</v>
      </c>
      <c r="B43" s="84" t="s">
        <v>123</v>
      </c>
      <c r="C43" s="86">
        <v>200</v>
      </c>
      <c r="D43" s="88">
        <v>200</v>
      </c>
      <c r="E43" s="90">
        <f t="shared" si="5"/>
        <v>0</v>
      </c>
      <c r="F43" s="73">
        <v>1400</v>
      </c>
      <c r="G43" s="17">
        <v>24</v>
      </c>
      <c r="H43" s="2">
        <f>15600+F43*G43</f>
        <v>49200</v>
      </c>
      <c r="I43" s="95">
        <f>6500+1200+4000+2000</f>
        <v>13700</v>
      </c>
      <c r="J43" s="92"/>
      <c r="K43" s="57">
        <f t="shared" si="7"/>
        <v>-35500</v>
      </c>
      <c r="M43" s="75" t="s">
        <v>124</v>
      </c>
      <c r="N43" s="5">
        <v>-770</v>
      </c>
    </row>
    <row r="44" spans="1:14" ht="14.45" customHeight="1" x14ac:dyDescent="0.25">
      <c r="A44" s="54">
        <v>42</v>
      </c>
      <c r="B44" s="61" t="s">
        <v>40</v>
      </c>
      <c r="C44" s="62">
        <v>200</v>
      </c>
      <c r="D44" s="63">
        <v>200</v>
      </c>
      <c r="E44" s="64">
        <f t="shared" si="5"/>
        <v>0</v>
      </c>
      <c r="F44" s="18">
        <v>1400</v>
      </c>
      <c r="G44" s="17">
        <v>24</v>
      </c>
      <c r="H44" s="2">
        <f>15600+F44*G44</f>
        <v>49200</v>
      </c>
      <c r="I44" s="3">
        <f>8400+2900+1200+2400+1200+2400+2800+5500+2800+1400+2800+2000+6000+2000+1500</f>
        <v>45300</v>
      </c>
      <c r="J44" s="7">
        <v>4000</v>
      </c>
      <c r="K44" s="49">
        <f t="shared" si="7"/>
        <v>100</v>
      </c>
      <c r="M44" s="39" t="s">
        <v>113</v>
      </c>
      <c r="N44" s="5">
        <v>0</v>
      </c>
    </row>
    <row r="45" spans="1:14" ht="14.45" customHeight="1" x14ac:dyDescent="0.25">
      <c r="A45" s="54">
        <v>43</v>
      </c>
      <c r="B45" s="61" t="s">
        <v>41</v>
      </c>
      <c r="C45" s="62">
        <v>400</v>
      </c>
      <c r="D45" s="63">
        <v>400</v>
      </c>
      <c r="E45" s="64">
        <f t="shared" si="5"/>
        <v>0</v>
      </c>
      <c r="F45" s="18">
        <v>1400</v>
      </c>
      <c r="G45" s="17">
        <v>24</v>
      </c>
      <c r="H45" s="2">
        <f>15600+F45*G45</f>
        <v>49200</v>
      </c>
      <c r="I45" s="3">
        <f>1000+2400+1200+2400+1200+2500+1200+2400+1200+1500+5000+3500+1000+2300+1400+1400+2800+2200+2800+2800+1400+2800+1400</f>
        <v>47800</v>
      </c>
      <c r="J45" s="7">
        <v>1401.12</v>
      </c>
      <c r="K45" s="49">
        <f>I45+J45-H45</f>
        <v>1.1200000000026193</v>
      </c>
      <c r="M45" s="39" t="s">
        <v>113</v>
      </c>
      <c r="N45" s="5">
        <v>0</v>
      </c>
    </row>
    <row r="46" spans="1:14" ht="14.45" customHeight="1" x14ac:dyDescent="0.25">
      <c r="A46" s="15">
        <v>44</v>
      </c>
      <c r="B46" s="61" t="s">
        <v>121</v>
      </c>
      <c r="C46" s="62"/>
      <c r="D46" s="63"/>
      <c r="E46" s="64">
        <f t="shared" si="5"/>
        <v>0</v>
      </c>
      <c r="F46" s="18">
        <v>1400</v>
      </c>
      <c r="G46" s="17">
        <v>24</v>
      </c>
      <c r="H46" s="6">
        <f>15600+F46*G46</f>
        <v>49200</v>
      </c>
      <c r="I46" s="3">
        <f>27801+1225+15000</f>
        <v>44026</v>
      </c>
      <c r="J46" s="7"/>
      <c r="K46" s="56">
        <f t="shared" si="7"/>
        <v>-5174</v>
      </c>
      <c r="M46" s="75" t="s">
        <v>126</v>
      </c>
      <c r="N46" s="5">
        <v>-1001</v>
      </c>
    </row>
    <row r="47" spans="1:14" ht="14.45" customHeight="1" x14ac:dyDescent="0.25">
      <c r="A47" s="54">
        <v>45</v>
      </c>
      <c r="B47" s="61" t="s">
        <v>42</v>
      </c>
      <c r="C47" s="62">
        <v>200</v>
      </c>
      <c r="D47" s="63"/>
      <c r="E47" s="66">
        <f t="shared" si="5"/>
        <v>-200</v>
      </c>
      <c r="F47" s="18">
        <v>1400</v>
      </c>
      <c r="G47" s="17">
        <v>24</v>
      </c>
      <c r="H47" s="2">
        <f>15600+F47*G47</f>
        <v>49200</v>
      </c>
      <c r="I47" s="3"/>
      <c r="J47" s="7"/>
      <c r="K47" s="56">
        <f t="shared" si="7"/>
        <v>-49200</v>
      </c>
      <c r="M47" s="75" t="s">
        <v>124</v>
      </c>
      <c r="N47" s="5">
        <v>-770</v>
      </c>
    </row>
    <row r="48" spans="1:14" ht="14.45" customHeight="1" x14ac:dyDescent="0.25">
      <c r="A48" s="15">
        <v>46</v>
      </c>
      <c r="B48" s="61" t="s">
        <v>152</v>
      </c>
      <c r="C48" s="62"/>
      <c r="D48" s="63"/>
      <c r="E48" s="64">
        <f t="shared" si="5"/>
        <v>0</v>
      </c>
      <c r="F48" s="18">
        <v>1400</v>
      </c>
      <c r="G48" s="17">
        <v>24</v>
      </c>
      <c r="H48" s="6">
        <f t="shared" ref="H48:H49" si="8">15600+F48*G48</f>
        <v>49200</v>
      </c>
      <c r="I48" s="3"/>
      <c r="J48" s="7">
        <v>46400</v>
      </c>
      <c r="K48" s="8">
        <f t="shared" si="7"/>
        <v>-2800</v>
      </c>
      <c r="M48" s="75" t="s">
        <v>126</v>
      </c>
      <c r="N48" s="5">
        <v>-1001</v>
      </c>
    </row>
    <row r="49" spans="1:15" ht="14.45" customHeight="1" x14ac:dyDescent="0.25">
      <c r="A49" s="15">
        <v>47</v>
      </c>
      <c r="B49" s="61" t="s">
        <v>43</v>
      </c>
      <c r="C49" s="62"/>
      <c r="D49" s="63"/>
      <c r="E49" s="64">
        <f t="shared" si="5"/>
        <v>0</v>
      </c>
      <c r="F49" s="18">
        <v>1400</v>
      </c>
      <c r="G49" s="17">
        <v>24</v>
      </c>
      <c r="H49" s="6">
        <f t="shared" si="8"/>
        <v>49200</v>
      </c>
      <c r="I49" s="3"/>
      <c r="J49" s="7"/>
      <c r="K49" s="56">
        <f t="shared" si="7"/>
        <v>-49200</v>
      </c>
      <c r="M49" s="75" t="s">
        <v>126</v>
      </c>
      <c r="N49" s="5">
        <v>-1001</v>
      </c>
    </row>
    <row r="50" spans="1:15" ht="14.45" customHeight="1" x14ac:dyDescent="0.25">
      <c r="A50" s="54">
        <v>48</v>
      </c>
      <c r="B50" s="61" t="s">
        <v>44</v>
      </c>
      <c r="C50" s="62">
        <v>400</v>
      </c>
      <c r="D50" s="63">
        <v>400</v>
      </c>
      <c r="E50" s="64">
        <f t="shared" si="5"/>
        <v>0</v>
      </c>
      <c r="F50" s="18">
        <v>1400</v>
      </c>
      <c r="G50" s="17">
        <v>24</v>
      </c>
      <c r="H50" s="2">
        <f>15600+F50*G50</f>
        <v>49200</v>
      </c>
      <c r="I50" s="3">
        <f>1200+1200+1200+1200+2400+1200+2400+8400+6200+10000</f>
        <v>35400</v>
      </c>
      <c r="J50" s="7"/>
      <c r="K50" s="56">
        <f t="shared" si="7"/>
        <v>-13800</v>
      </c>
      <c r="M50" s="39" t="s">
        <v>113</v>
      </c>
      <c r="N50" s="5">
        <v>0</v>
      </c>
    </row>
    <row r="51" spans="1:15" ht="14.45" customHeight="1" x14ac:dyDescent="0.25">
      <c r="A51" s="14">
        <v>49</v>
      </c>
      <c r="B51" s="61" t="s">
        <v>45</v>
      </c>
      <c r="C51" s="35"/>
      <c r="D51" s="21"/>
      <c r="E51" s="64">
        <f t="shared" si="5"/>
        <v>0</v>
      </c>
      <c r="F51" s="18">
        <v>1400</v>
      </c>
      <c r="G51" s="17">
        <v>24</v>
      </c>
      <c r="H51" s="6">
        <f>15600+F51*G51</f>
        <v>49200</v>
      </c>
      <c r="I51" s="30"/>
      <c r="J51" s="30"/>
      <c r="K51" s="56">
        <f t="shared" si="7"/>
        <v>-49200</v>
      </c>
      <c r="M51" s="75" t="s">
        <v>126</v>
      </c>
      <c r="N51" s="5">
        <v>-1001</v>
      </c>
    </row>
    <row r="52" spans="1:15" ht="14.45" customHeight="1" x14ac:dyDescent="0.25">
      <c r="A52" s="54">
        <v>50</v>
      </c>
      <c r="B52" s="61" t="s">
        <v>46</v>
      </c>
      <c r="C52" s="62">
        <v>200</v>
      </c>
      <c r="D52" s="63"/>
      <c r="E52" s="66">
        <f t="shared" si="5"/>
        <v>-200</v>
      </c>
      <c r="F52" s="18">
        <v>1400</v>
      </c>
      <c r="G52" s="17">
        <v>24</v>
      </c>
      <c r="H52" s="2">
        <f>15600+F52*G52</f>
        <v>49200</v>
      </c>
      <c r="I52" s="3">
        <f>42800</f>
        <v>42800</v>
      </c>
      <c r="J52" s="7"/>
      <c r="K52" s="56">
        <f t="shared" si="7"/>
        <v>-6400</v>
      </c>
      <c r="M52" s="75" t="s">
        <v>124</v>
      </c>
      <c r="N52" s="5">
        <v>-770</v>
      </c>
    </row>
    <row r="53" spans="1:15" ht="14.45" customHeight="1" x14ac:dyDescent="0.25">
      <c r="A53" s="15">
        <v>51</v>
      </c>
      <c r="B53" s="61" t="s">
        <v>47</v>
      </c>
      <c r="C53" s="62"/>
      <c r="D53" s="63"/>
      <c r="E53" s="64">
        <f t="shared" si="5"/>
        <v>0</v>
      </c>
      <c r="F53" s="18">
        <v>1400</v>
      </c>
      <c r="G53" s="17">
        <v>24</v>
      </c>
      <c r="H53" s="6">
        <f>15600+F53*G53</f>
        <v>49200</v>
      </c>
      <c r="I53" s="3">
        <f>5108+2554+2554+10216+4200+1400+2800+5600+4200+4200</f>
        <v>42832</v>
      </c>
      <c r="J53" s="7"/>
      <c r="K53" s="56">
        <f t="shared" si="7"/>
        <v>-6368</v>
      </c>
      <c r="M53" s="75" t="s">
        <v>126</v>
      </c>
      <c r="N53" s="5">
        <v>-1001</v>
      </c>
    </row>
    <row r="54" spans="1:15" ht="14.45" customHeight="1" x14ac:dyDescent="0.25">
      <c r="A54" s="54">
        <v>52</v>
      </c>
      <c r="B54" s="61" t="s">
        <v>48</v>
      </c>
      <c r="C54" s="62">
        <v>200</v>
      </c>
      <c r="D54" s="63">
        <v>200</v>
      </c>
      <c r="E54" s="64">
        <f t="shared" si="5"/>
        <v>0</v>
      </c>
      <c r="F54" s="18">
        <v>1400</v>
      </c>
      <c r="G54" s="17">
        <v>24</v>
      </c>
      <c r="H54" s="2">
        <f>15600+F54*G54</f>
        <v>49200</v>
      </c>
      <c r="I54" s="3">
        <f>4800+9000+3900+3600+5600+2000+5865+5000+5000+4200</f>
        <v>48965</v>
      </c>
      <c r="J54" s="7"/>
      <c r="K54" s="8">
        <f t="shared" si="7"/>
        <v>-235</v>
      </c>
      <c r="M54" s="75" t="s">
        <v>124</v>
      </c>
      <c r="N54" s="5">
        <v>-770</v>
      </c>
    </row>
    <row r="55" spans="1:15" ht="14.45" customHeight="1" x14ac:dyDescent="0.25">
      <c r="A55" s="53">
        <v>53</v>
      </c>
      <c r="B55" s="61" t="s">
        <v>49</v>
      </c>
      <c r="C55" s="35">
        <v>200</v>
      </c>
      <c r="D55" s="21">
        <v>200</v>
      </c>
      <c r="E55" s="64">
        <f t="shared" si="5"/>
        <v>0</v>
      </c>
      <c r="F55" s="18">
        <v>1400</v>
      </c>
      <c r="G55" s="77">
        <v>20</v>
      </c>
      <c r="H55" s="2">
        <f>F55*G55</f>
        <v>28000</v>
      </c>
      <c r="I55" s="30">
        <f>1400+2800</f>
        <v>4200</v>
      </c>
      <c r="J55" s="30"/>
      <c r="K55" s="56">
        <f t="shared" si="7"/>
        <v>-23800</v>
      </c>
      <c r="M55" s="75" t="s">
        <v>128</v>
      </c>
      <c r="N55" s="5">
        <v>-77</v>
      </c>
      <c r="O55" s="96" t="s">
        <v>143</v>
      </c>
    </row>
    <row r="56" spans="1:15" ht="14.45" customHeight="1" x14ac:dyDescent="0.25">
      <c r="A56" s="15">
        <v>54</v>
      </c>
      <c r="B56" s="61" t="s">
        <v>50</v>
      </c>
      <c r="C56" s="62"/>
      <c r="D56" s="63"/>
      <c r="E56" s="64">
        <f t="shared" si="5"/>
        <v>0</v>
      </c>
      <c r="F56" s="18">
        <v>1400</v>
      </c>
      <c r="G56" s="17">
        <v>24</v>
      </c>
      <c r="H56" s="6">
        <f t="shared" ref="H56:H57" si="9">15600+F56*G56</f>
        <v>49200</v>
      </c>
      <c r="I56" s="3">
        <f>16601+14000+14000</f>
        <v>44601</v>
      </c>
      <c r="J56" s="7"/>
      <c r="K56" s="56">
        <f t="shared" si="7"/>
        <v>-4599</v>
      </c>
      <c r="M56" s="75" t="s">
        <v>126</v>
      </c>
      <c r="N56" s="5">
        <v>-1001</v>
      </c>
    </row>
    <row r="57" spans="1:15" x14ac:dyDescent="0.25">
      <c r="A57" s="15">
        <v>55</v>
      </c>
      <c r="B57" s="61" t="s">
        <v>51</v>
      </c>
      <c r="C57" s="62"/>
      <c r="D57" s="63"/>
      <c r="E57" s="64">
        <f t="shared" si="5"/>
        <v>0</v>
      </c>
      <c r="F57" s="18">
        <v>1400</v>
      </c>
      <c r="G57" s="17">
        <v>24</v>
      </c>
      <c r="H57" s="6">
        <f t="shared" si="9"/>
        <v>49200</v>
      </c>
      <c r="I57" s="3">
        <v>16601</v>
      </c>
      <c r="J57" s="7"/>
      <c r="K57" s="56">
        <f t="shared" si="7"/>
        <v>-32599</v>
      </c>
      <c r="M57" s="75" t="s">
        <v>126</v>
      </c>
      <c r="N57" s="5">
        <v>-1001</v>
      </c>
    </row>
    <row r="58" spans="1:15" s="1" customFormat="1" x14ac:dyDescent="0.25">
      <c r="A58" s="14">
        <v>56</v>
      </c>
      <c r="B58" s="61" t="s">
        <v>147</v>
      </c>
      <c r="C58" s="35"/>
      <c r="D58" s="21"/>
      <c r="E58" s="64">
        <f t="shared" si="5"/>
        <v>0</v>
      </c>
      <c r="F58" s="18">
        <v>1400</v>
      </c>
      <c r="G58" s="17">
        <v>3</v>
      </c>
      <c r="H58" s="6">
        <f>F58*G58</f>
        <v>4200</v>
      </c>
      <c r="I58" s="30"/>
      <c r="J58" s="30"/>
      <c r="K58" s="58">
        <f t="shared" si="7"/>
        <v>-4200</v>
      </c>
      <c r="L58" s="45"/>
      <c r="M58" s="41"/>
    </row>
    <row r="59" spans="1:15" ht="14.45" customHeight="1" x14ac:dyDescent="0.25">
      <c r="A59" s="54">
        <v>57</v>
      </c>
      <c r="B59" s="61" t="s">
        <v>52</v>
      </c>
      <c r="C59" s="62">
        <v>200</v>
      </c>
      <c r="D59" s="63">
        <v>400</v>
      </c>
      <c r="E59" s="50">
        <f t="shared" si="5"/>
        <v>200</v>
      </c>
      <c r="F59" s="18">
        <v>1400</v>
      </c>
      <c r="G59" s="17">
        <v>24</v>
      </c>
      <c r="H59" s="2">
        <f t="shared" ref="H59:H69" si="10">15600+F59*G59</f>
        <v>49200</v>
      </c>
      <c r="I59" s="3">
        <f>1400+10600+1400+1000+1200+1400+2800+5600+2800+2800+2800+2800+4200+1400+2800+2800</f>
        <v>47800</v>
      </c>
      <c r="J59" s="7"/>
      <c r="K59" s="8">
        <f t="shared" si="7"/>
        <v>-1400</v>
      </c>
      <c r="M59" s="39" t="s">
        <v>113</v>
      </c>
      <c r="N59" s="5">
        <v>0</v>
      </c>
    </row>
    <row r="60" spans="1:15" ht="14.45" customHeight="1" x14ac:dyDescent="0.25">
      <c r="A60" s="15">
        <v>58</v>
      </c>
      <c r="B60" s="61" t="s">
        <v>53</v>
      </c>
      <c r="C60" s="62"/>
      <c r="D60" s="63"/>
      <c r="E60" s="64">
        <f t="shared" si="5"/>
        <v>0</v>
      </c>
      <c r="F60" s="18">
        <v>1400</v>
      </c>
      <c r="G60" s="17">
        <v>24</v>
      </c>
      <c r="H60" s="6">
        <f t="shared" si="10"/>
        <v>49200</v>
      </c>
      <c r="I60" s="3"/>
      <c r="J60" s="7"/>
      <c r="K60" s="56">
        <f t="shared" si="7"/>
        <v>-49200</v>
      </c>
      <c r="M60" s="75" t="s">
        <v>126</v>
      </c>
      <c r="N60" s="5">
        <v>-1001</v>
      </c>
    </row>
    <row r="61" spans="1:15" ht="14.45" customHeight="1" x14ac:dyDescent="0.25">
      <c r="A61" s="54">
        <v>59</v>
      </c>
      <c r="B61" s="61" t="s">
        <v>54</v>
      </c>
      <c r="C61" s="62">
        <v>200</v>
      </c>
      <c r="D61" s="63">
        <v>210</v>
      </c>
      <c r="E61" s="50">
        <f t="shared" si="5"/>
        <v>10</v>
      </c>
      <c r="F61" s="18">
        <v>1400</v>
      </c>
      <c r="G61" s="17">
        <v>24</v>
      </c>
      <c r="H61" s="2">
        <f t="shared" si="10"/>
        <v>49200</v>
      </c>
      <c r="I61" s="3">
        <f>5177+1277+3831+6408+6700+1400+5800+4200+4000+10000</f>
        <v>48793</v>
      </c>
      <c r="J61" s="7">
        <v>2.23</v>
      </c>
      <c r="K61" s="8">
        <f t="shared" si="7"/>
        <v>-404.7699999999968</v>
      </c>
      <c r="M61" s="75" t="s">
        <v>124</v>
      </c>
      <c r="N61" s="5">
        <v>-770</v>
      </c>
    </row>
    <row r="62" spans="1:15" ht="14.45" customHeight="1" x14ac:dyDescent="0.25">
      <c r="A62" s="15">
        <v>60</v>
      </c>
      <c r="B62" s="61" t="s">
        <v>55</v>
      </c>
      <c r="C62" s="62"/>
      <c r="D62" s="63"/>
      <c r="E62" s="64">
        <f t="shared" si="5"/>
        <v>0</v>
      </c>
      <c r="F62" s="18">
        <v>1400</v>
      </c>
      <c r="G62" s="17">
        <v>24</v>
      </c>
      <c r="H62" s="6">
        <f t="shared" si="10"/>
        <v>49200</v>
      </c>
      <c r="I62" s="3"/>
      <c r="J62" s="7"/>
      <c r="K62" s="56">
        <f t="shared" si="7"/>
        <v>-49200</v>
      </c>
      <c r="M62" s="75" t="s">
        <v>126</v>
      </c>
      <c r="N62" s="5">
        <v>-1001</v>
      </c>
    </row>
    <row r="63" spans="1:15" ht="14.45" customHeight="1" x14ac:dyDescent="0.25">
      <c r="A63" s="54">
        <v>61</v>
      </c>
      <c r="B63" s="61" t="s">
        <v>56</v>
      </c>
      <c r="C63" s="62">
        <v>200</v>
      </c>
      <c r="D63" s="63">
        <v>200</v>
      </c>
      <c r="E63" s="64">
        <f t="shared" si="5"/>
        <v>0</v>
      </c>
      <c r="F63" s="18">
        <v>1400</v>
      </c>
      <c r="G63" s="17">
        <v>24</v>
      </c>
      <c r="H63" s="2">
        <f t="shared" si="10"/>
        <v>49200</v>
      </c>
      <c r="I63" s="3">
        <f>14047+2400+1200+2400+2400+1200+2400+2400+2400+3800+1400+1400+2800+2800+1400+1400+1400+1400</f>
        <v>48647</v>
      </c>
      <c r="J63" s="7">
        <v>1400</v>
      </c>
      <c r="K63" s="49">
        <f t="shared" si="7"/>
        <v>847</v>
      </c>
      <c r="M63" s="75" t="s">
        <v>124</v>
      </c>
      <c r="N63" s="5">
        <v>-770</v>
      </c>
    </row>
    <row r="64" spans="1:15" ht="14.45" customHeight="1" x14ac:dyDescent="0.25">
      <c r="A64" s="54">
        <v>62</v>
      </c>
      <c r="B64" s="61" t="s">
        <v>57</v>
      </c>
      <c r="C64" s="62">
        <v>200</v>
      </c>
      <c r="D64" s="63">
        <v>200</v>
      </c>
      <c r="E64" s="64">
        <f t="shared" si="5"/>
        <v>0</v>
      </c>
      <c r="F64" s="18">
        <v>1400</v>
      </c>
      <c r="G64" s="17">
        <v>24</v>
      </c>
      <c r="H64" s="2">
        <f t="shared" si="10"/>
        <v>49200</v>
      </c>
      <c r="I64" s="3">
        <f>3600+3600+1200+3600+1200+2400+5600+7000+2800+2800+1400+1400+1400+8400</f>
        <v>46400</v>
      </c>
      <c r="J64" s="7"/>
      <c r="K64" s="8">
        <f t="shared" si="7"/>
        <v>-2800</v>
      </c>
      <c r="M64" s="39" t="s">
        <v>113</v>
      </c>
      <c r="N64" s="5">
        <v>0</v>
      </c>
    </row>
    <row r="65" spans="1:14" ht="14.45" customHeight="1" x14ac:dyDescent="0.25">
      <c r="A65" s="54">
        <v>63</v>
      </c>
      <c r="B65" s="61" t="s">
        <v>58</v>
      </c>
      <c r="C65" s="62">
        <v>200</v>
      </c>
      <c r="D65" s="63">
        <v>200</v>
      </c>
      <c r="E65" s="64">
        <f t="shared" si="5"/>
        <v>0</v>
      </c>
      <c r="F65" s="18">
        <v>1400</v>
      </c>
      <c r="G65" s="17">
        <v>24</v>
      </c>
      <c r="H65" s="2">
        <f t="shared" si="10"/>
        <v>49200</v>
      </c>
      <c r="I65" s="3">
        <f>6385+6000+1277+2800+5000+5000+2585+2800+5000+4800+3676.53</f>
        <v>45323.53</v>
      </c>
      <c r="J65" s="7">
        <v>2500</v>
      </c>
      <c r="K65" s="8">
        <f t="shared" si="7"/>
        <v>-1376.4700000000012</v>
      </c>
      <c r="M65" s="75" t="s">
        <v>125</v>
      </c>
      <c r="N65" s="5">
        <v>-847</v>
      </c>
    </row>
    <row r="66" spans="1:14" ht="14.45" customHeight="1" x14ac:dyDescent="0.25">
      <c r="A66" s="15">
        <v>64</v>
      </c>
      <c r="B66" s="61" t="s">
        <v>59</v>
      </c>
      <c r="C66" s="62"/>
      <c r="D66" s="63"/>
      <c r="E66" s="64">
        <f t="shared" si="5"/>
        <v>0</v>
      </c>
      <c r="F66" s="18">
        <v>1400</v>
      </c>
      <c r="G66" s="17">
        <v>24</v>
      </c>
      <c r="H66" s="6">
        <f>2400+F66*G66</f>
        <v>36000</v>
      </c>
      <c r="I66" s="3"/>
      <c r="J66" s="7"/>
      <c r="K66" s="56">
        <f t="shared" si="7"/>
        <v>-36000</v>
      </c>
      <c r="M66" s="75" t="s">
        <v>126</v>
      </c>
      <c r="N66" s="5">
        <v>-1001</v>
      </c>
    </row>
    <row r="67" spans="1:14" ht="14.45" customHeight="1" x14ac:dyDescent="0.25">
      <c r="A67" s="54">
        <v>65</v>
      </c>
      <c r="B67" s="61" t="s">
        <v>60</v>
      </c>
      <c r="C67" s="62">
        <v>200</v>
      </c>
      <c r="D67" s="63">
        <v>200</v>
      </c>
      <c r="E67" s="64">
        <f t="shared" si="5"/>
        <v>0</v>
      </c>
      <c r="F67" s="18">
        <v>1400</v>
      </c>
      <c r="G67" s="17">
        <v>24</v>
      </c>
      <c r="H67" s="2">
        <f t="shared" si="10"/>
        <v>49200</v>
      </c>
      <c r="I67" s="3">
        <f>2400+1200+1200+1200+1200+1200+1200+1200+1200+2400+1200+1200+1200+3200+2800+2800+2800+1400+2800+1400+1400+1400+1400+1400+1400+1400+2800+1400</f>
        <v>47800</v>
      </c>
      <c r="J67" s="7">
        <f>1400+138.65</f>
        <v>1538.65</v>
      </c>
      <c r="K67" s="49">
        <f t="shared" si="7"/>
        <v>138.65000000000146</v>
      </c>
      <c r="M67" s="39" t="s">
        <v>113</v>
      </c>
      <c r="N67" s="5">
        <v>0</v>
      </c>
    </row>
    <row r="68" spans="1:14" ht="14.45" customHeight="1" x14ac:dyDescent="0.25">
      <c r="A68" s="15">
        <v>66</v>
      </c>
      <c r="B68" s="61" t="s">
        <v>61</v>
      </c>
      <c r="C68" s="62"/>
      <c r="D68" s="63"/>
      <c r="E68" s="64">
        <f t="shared" si="5"/>
        <v>0</v>
      </c>
      <c r="F68" s="18">
        <v>1400</v>
      </c>
      <c r="G68" s="17">
        <v>24</v>
      </c>
      <c r="H68" s="6">
        <f t="shared" si="10"/>
        <v>49200</v>
      </c>
      <c r="I68" s="3">
        <f>5000</f>
        <v>5000</v>
      </c>
      <c r="J68" s="7"/>
      <c r="K68" s="56">
        <f t="shared" si="7"/>
        <v>-44200</v>
      </c>
      <c r="M68" s="75" t="s">
        <v>126</v>
      </c>
      <c r="N68" s="5">
        <v>-1001</v>
      </c>
    </row>
    <row r="69" spans="1:14" ht="14.45" customHeight="1" x14ac:dyDescent="0.25">
      <c r="A69" s="15">
        <v>67</v>
      </c>
      <c r="B69" s="61" t="s">
        <v>62</v>
      </c>
      <c r="C69" s="62"/>
      <c r="D69" s="63"/>
      <c r="E69" s="64">
        <f t="shared" si="5"/>
        <v>0</v>
      </c>
      <c r="F69" s="18">
        <v>1400</v>
      </c>
      <c r="G69" s="17">
        <v>24</v>
      </c>
      <c r="H69" s="6">
        <f t="shared" si="10"/>
        <v>49200</v>
      </c>
      <c r="I69" s="3">
        <f>6350+2540+1270+1270+1270+2600+1300+1300+1300+1300+1300+1300+1300+1300+1300+1500+1400+1400+2800+1400+1400+1400+1400+1400+1400+3000+3000</f>
        <v>48500</v>
      </c>
      <c r="J69" s="7">
        <v>1500</v>
      </c>
      <c r="K69" s="49">
        <f t="shared" si="7"/>
        <v>800</v>
      </c>
      <c r="M69" s="75" t="s">
        <v>126</v>
      </c>
      <c r="N69" s="5">
        <v>-1001</v>
      </c>
    </row>
    <row r="70" spans="1:14" ht="14.45" customHeight="1" x14ac:dyDescent="0.25">
      <c r="A70" s="54">
        <v>68</v>
      </c>
      <c r="B70" s="61" t="s">
        <v>63</v>
      </c>
      <c r="C70" s="62">
        <v>200</v>
      </c>
      <c r="D70" s="63">
        <v>200</v>
      </c>
      <c r="E70" s="64">
        <f t="shared" si="5"/>
        <v>0</v>
      </c>
      <c r="F70" s="18">
        <v>1400</v>
      </c>
      <c r="G70" s="17">
        <v>24</v>
      </c>
      <c r="H70" s="2">
        <f>15600+F70*G70</f>
        <v>49200</v>
      </c>
      <c r="I70" s="3">
        <f>1200+2400+2400+2400+1200+1000+1200+1200+2400+1200+1200+1200+1200+1200+1200+1200+1200+1200+1400+3400+1400+2800+1400+1400+1400+1400+1400+3000+3000</f>
        <v>48200</v>
      </c>
      <c r="J70" s="7">
        <v>1500</v>
      </c>
      <c r="K70" s="49">
        <f t="shared" si="7"/>
        <v>500</v>
      </c>
      <c r="M70" s="39" t="s">
        <v>113</v>
      </c>
      <c r="N70" s="5">
        <v>0</v>
      </c>
    </row>
    <row r="71" spans="1:14" ht="14.45" customHeight="1" x14ac:dyDescent="0.25">
      <c r="A71" s="15">
        <v>69</v>
      </c>
      <c r="B71" s="61" t="s">
        <v>64</v>
      </c>
      <c r="C71" s="62"/>
      <c r="D71" s="63"/>
      <c r="E71" s="64">
        <f t="shared" si="5"/>
        <v>0</v>
      </c>
      <c r="F71" s="18">
        <v>1400</v>
      </c>
      <c r="G71" s="17">
        <v>24</v>
      </c>
      <c r="H71" s="6">
        <f>15600+F71*G71</f>
        <v>49200</v>
      </c>
      <c r="I71" s="3">
        <f>5000+2800+6400+1400+8001+1400+1400+1400+1400+1400+1400+2800+1400+1400+1400+1400+1400+2800+1400+399</f>
        <v>46400</v>
      </c>
      <c r="J71" s="7">
        <v>2800</v>
      </c>
      <c r="K71" s="49">
        <f t="shared" si="7"/>
        <v>0</v>
      </c>
      <c r="M71" s="75" t="s">
        <v>126</v>
      </c>
      <c r="N71" s="5">
        <v>-1001</v>
      </c>
    </row>
    <row r="72" spans="1:14" ht="14.45" customHeight="1" x14ac:dyDescent="0.25">
      <c r="A72" s="54">
        <v>70</v>
      </c>
      <c r="B72" s="61" t="s">
        <v>65</v>
      </c>
      <c r="C72" s="62">
        <v>200</v>
      </c>
      <c r="D72" s="63"/>
      <c r="E72" s="66">
        <f t="shared" si="5"/>
        <v>-200</v>
      </c>
      <c r="F72" s="18">
        <v>1400</v>
      </c>
      <c r="G72" s="17">
        <v>24</v>
      </c>
      <c r="H72" s="2">
        <f>15600+F72*G72</f>
        <v>49200</v>
      </c>
      <c r="I72" s="3"/>
      <c r="J72" s="7"/>
      <c r="K72" s="56">
        <f t="shared" si="7"/>
        <v>-49200</v>
      </c>
      <c r="M72" s="39" t="s">
        <v>113</v>
      </c>
      <c r="N72" s="5">
        <v>0</v>
      </c>
    </row>
    <row r="73" spans="1:14" ht="14.45" customHeight="1" x14ac:dyDescent="0.25">
      <c r="A73" s="54">
        <v>71</v>
      </c>
      <c r="B73" s="46" t="s">
        <v>66</v>
      </c>
      <c r="C73" s="62">
        <v>200</v>
      </c>
      <c r="D73" s="63">
        <v>200</v>
      </c>
      <c r="E73" s="64">
        <f t="shared" si="5"/>
        <v>0</v>
      </c>
      <c r="F73" s="18">
        <v>1400</v>
      </c>
      <c r="G73" s="17">
        <v>24</v>
      </c>
      <c r="H73" s="2">
        <f>15600+F73*G73</f>
        <v>49200</v>
      </c>
      <c r="I73" s="3">
        <f>14400+1200+4200+2800+2800+1200+4400+5600+4200+1400+1400+1400+1400</f>
        <v>46400</v>
      </c>
      <c r="J73" s="7">
        <v>2800</v>
      </c>
      <c r="K73" s="49">
        <f t="shared" si="7"/>
        <v>0</v>
      </c>
      <c r="M73" s="39" t="s">
        <v>113</v>
      </c>
      <c r="N73" s="5">
        <v>0</v>
      </c>
    </row>
    <row r="74" spans="1:14" ht="14.45" customHeight="1" x14ac:dyDescent="0.25">
      <c r="A74" s="54">
        <v>72</v>
      </c>
      <c r="B74" s="46" t="s">
        <v>67</v>
      </c>
      <c r="C74" s="62">
        <v>200</v>
      </c>
      <c r="D74" s="63"/>
      <c r="E74" s="66">
        <f t="shared" si="5"/>
        <v>-200</v>
      </c>
      <c r="F74" s="18">
        <v>1400</v>
      </c>
      <c r="G74" s="17">
        <v>24</v>
      </c>
      <c r="H74" s="2">
        <f>15600+F74*G74</f>
        <v>49200</v>
      </c>
      <c r="I74" s="3">
        <f>11500+20000</f>
        <v>31500</v>
      </c>
      <c r="J74" s="7">
        <f>15000+26.8</f>
        <v>15026.8</v>
      </c>
      <c r="K74" s="8">
        <f t="shared" si="7"/>
        <v>-2673.1999999999971</v>
      </c>
      <c r="M74" s="39" t="s">
        <v>113</v>
      </c>
      <c r="N74" s="5">
        <v>0</v>
      </c>
    </row>
    <row r="75" spans="1:14" ht="14.45" customHeight="1" x14ac:dyDescent="0.25">
      <c r="A75" s="54">
        <v>73</v>
      </c>
      <c r="B75" s="46" t="s">
        <v>115</v>
      </c>
      <c r="C75" s="62">
        <v>200</v>
      </c>
      <c r="D75" s="63">
        <v>200</v>
      </c>
      <c r="E75" s="64">
        <f t="shared" si="5"/>
        <v>0</v>
      </c>
      <c r="F75" s="18">
        <v>1400</v>
      </c>
      <c r="G75" s="17">
        <v>24</v>
      </c>
      <c r="H75" s="2">
        <f>14400+F75*G75</f>
        <v>48000</v>
      </c>
      <c r="I75" s="3">
        <f>1400+4200+1200+1400+2800+1400+1200+1400+4200+1500+2900+2800+4200+2800+4600+2800+1800+3000+5000+5000</f>
        <v>55600</v>
      </c>
      <c r="J75" s="7"/>
      <c r="K75" s="49">
        <f t="shared" si="7"/>
        <v>7600</v>
      </c>
      <c r="M75" s="39" t="s">
        <v>113</v>
      </c>
      <c r="N75" s="5">
        <v>0</v>
      </c>
    </row>
    <row r="76" spans="1:14" ht="14.45" customHeight="1" x14ac:dyDescent="0.25">
      <c r="A76" s="15">
        <v>74</v>
      </c>
      <c r="B76" s="46" t="s">
        <v>68</v>
      </c>
      <c r="C76" s="62"/>
      <c r="D76" s="63"/>
      <c r="E76" s="64">
        <f t="shared" si="5"/>
        <v>0</v>
      </c>
      <c r="F76" s="18">
        <v>1400</v>
      </c>
      <c r="G76" s="17">
        <v>24</v>
      </c>
      <c r="H76" s="6">
        <f>15600+F76*G76</f>
        <v>49200</v>
      </c>
      <c r="I76" s="3"/>
      <c r="J76" s="7"/>
      <c r="K76" s="56">
        <f t="shared" si="7"/>
        <v>-49200</v>
      </c>
      <c r="M76" s="75" t="s">
        <v>126</v>
      </c>
      <c r="N76" s="5">
        <v>-1001</v>
      </c>
    </row>
    <row r="77" spans="1:14" ht="14.45" customHeight="1" x14ac:dyDescent="0.25">
      <c r="A77" s="54">
        <v>75</v>
      </c>
      <c r="B77" s="46" t="s">
        <v>69</v>
      </c>
      <c r="C77" s="62">
        <v>200</v>
      </c>
      <c r="D77" s="63">
        <v>200</v>
      </c>
      <c r="E77" s="64">
        <f t="shared" si="5"/>
        <v>0</v>
      </c>
      <c r="F77" s="18">
        <v>1400</v>
      </c>
      <c r="G77" s="17">
        <v>24</v>
      </c>
      <c r="H77" s="2">
        <f>15600+F77*G77</f>
        <v>49200</v>
      </c>
      <c r="I77" s="3">
        <f>1200+3600+1200+2400+1200+3600+1200+1200+1200+4400+2800+2800+1400+1400+1400+1400+9800+1400+1400+1400</f>
        <v>46400</v>
      </c>
      <c r="J77" s="7">
        <v>1400</v>
      </c>
      <c r="K77" s="8">
        <f t="shared" si="7"/>
        <v>-1400</v>
      </c>
      <c r="M77" s="39" t="s">
        <v>113</v>
      </c>
      <c r="N77" s="5">
        <v>0</v>
      </c>
    </row>
    <row r="78" spans="1:14" ht="14.45" customHeight="1" x14ac:dyDescent="0.25">
      <c r="A78" s="15">
        <v>76</v>
      </c>
      <c r="B78" s="46" t="s">
        <v>70</v>
      </c>
      <c r="C78" s="62"/>
      <c r="D78" s="63"/>
      <c r="E78" s="64">
        <f t="shared" si="5"/>
        <v>0</v>
      </c>
      <c r="F78" s="18">
        <v>1400</v>
      </c>
      <c r="G78" s="17">
        <v>24</v>
      </c>
      <c r="H78" s="6">
        <f>15600+F78*G78</f>
        <v>49200</v>
      </c>
      <c r="I78" s="3"/>
      <c r="J78" s="7"/>
      <c r="K78" s="56">
        <f t="shared" si="7"/>
        <v>-49200</v>
      </c>
      <c r="M78" s="75" t="s">
        <v>126</v>
      </c>
      <c r="N78" s="5">
        <v>-1001</v>
      </c>
    </row>
    <row r="79" spans="1:14" ht="14.45" customHeight="1" x14ac:dyDescent="0.25">
      <c r="A79" s="54">
        <v>77</v>
      </c>
      <c r="B79" s="46" t="s">
        <v>71</v>
      </c>
      <c r="C79" s="62">
        <v>200</v>
      </c>
      <c r="D79" s="63">
        <v>200</v>
      </c>
      <c r="E79" s="64">
        <f t="shared" si="5"/>
        <v>0</v>
      </c>
      <c r="F79" s="18">
        <v>1400</v>
      </c>
      <c r="G79" s="17">
        <v>24</v>
      </c>
      <c r="H79" s="2">
        <f>15600+F79*G79</f>
        <v>49200</v>
      </c>
      <c r="I79" s="3">
        <f>2400+2400+3600+1200+1200+1200+1200+1200+1200+2400+1200+1200+1200+1200+1200+2800+1400+2800+1400+2800+1400+1400+1400+1400+1400+1400+1400+2800</f>
        <v>47800</v>
      </c>
      <c r="J79" s="7"/>
      <c r="K79" s="59">
        <f t="shared" si="7"/>
        <v>-1400</v>
      </c>
      <c r="M79" s="39" t="s">
        <v>113</v>
      </c>
      <c r="N79" s="5">
        <v>0</v>
      </c>
    </row>
    <row r="80" spans="1:14" ht="14.45" customHeight="1" x14ac:dyDescent="0.25">
      <c r="A80" s="14">
        <v>78</v>
      </c>
      <c r="B80" s="61" t="s">
        <v>73</v>
      </c>
      <c r="C80" s="35"/>
      <c r="D80" s="21"/>
      <c r="E80" s="64">
        <f t="shared" si="5"/>
        <v>0</v>
      </c>
      <c r="F80" s="18">
        <v>1400</v>
      </c>
      <c r="G80" s="17">
        <v>24</v>
      </c>
      <c r="H80" s="6">
        <f>6000+F80*G80</f>
        <v>39600</v>
      </c>
      <c r="I80" s="30">
        <f>6400</f>
        <v>6400</v>
      </c>
      <c r="J80" s="30"/>
      <c r="K80" s="58">
        <f>I80+J80-H80</f>
        <v>-33200</v>
      </c>
      <c r="M80" s="75" t="s">
        <v>129</v>
      </c>
      <c r="N80" s="5">
        <v>-385</v>
      </c>
    </row>
    <row r="81" spans="1:14" ht="14.45" customHeight="1" x14ac:dyDescent="0.25">
      <c r="A81" s="54">
        <v>79</v>
      </c>
      <c r="B81" s="61" t="s">
        <v>72</v>
      </c>
      <c r="C81" s="62">
        <v>200</v>
      </c>
      <c r="D81" s="63">
        <v>200</v>
      </c>
      <c r="E81" s="64">
        <f t="shared" si="5"/>
        <v>0</v>
      </c>
      <c r="F81" s="18">
        <v>1400</v>
      </c>
      <c r="G81" s="17">
        <v>24</v>
      </c>
      <c r="H81" s="2">
        <f>14400+F81*G81</f>
        <v>48000</v>
      </c>
      <c r="I81" s="3">
        <f>1200+1272+1200+1436+1277+1277+2544+1277+1200+1200+1200+2400+7010+1200+1200+4800+1600+2800+4200+4200+2800</f>
        <v>47293</v>
      </c>
      <c r="J81" s="7"/>
      <c r="K81" s="8">
        <f>I81+J81-H81</f>
        <v>-707</v>
      </c>
      <c r="M81" s="75" t="s">
        <v>130</v>
      </c>
      <c r="N81" s="5">
        <v>-693</v>
      </c>
    </row>
    <row r="82" spans="1:14" ht="14.45" customHeight="1" x14ac:dyDescent="0.25">
      <c r="A82" s="14">
        <v>80</v>
      </c>
      <c r="B82" s="61" t="s">
        <v>73</v>
      </c>
      <c r="C82" s="35"/>
      <c r="D82" s="21"/>
      <c r="E82" s="64">
        <f t="shared" si="5"/>
        <v>0</v>
      </c>
      <c r="F82" s="18">
        <v>1400</v>
      </c>
      <c r="G82" s="17">
        <v>24</v>
      </c>
      <c r="H82" s="6">
        <f>12000+F82*G82</f>
        <v>45600</v>
      </c>
      <c r="I82" s="30">
        <f>3200+3000+5400+3500+3500+1500+5000+3004</f>
        <v>28104</v>
      </c>
      <c r="J82" s="30"/>
      <c r="K82" s="58">
        <f>I82+J82-H82</f>
        <v>-17496</v>
      </c>
      <c r="M82" s="75" t="s">
        <v>124</v>
      </c>
      <c r="N82" s="5">
        <v>-770</v>
      </c>
    </row>
    <row r="83" spans="1:14" ht="14.45" customHeight="1" x14ac:dyDescent="0.25">
      <c r="A83" s="14">
        <v>81</v>
      </c>
      <c r="B83" s="61" t="s">
        <v>132</v>
      </c>
      <c r="C83" s="35"/>
      <c r="D83" s="21"/>
      <c r="E83" s="64">
        <f t="shared" si="5"/>
        <v>0</v>
      </c>
      <c r="F83" s="18">
        <v>1400</v>
      </c>
      <c r="G83" s="17">
        <v>24</v>
      </c>
      <c r="H83" s="6">
        <f>2400+F83*G83</f>
        <v>36000</v>
      </c>
      <c r="I83" s="30">
        <f>32000</f>
        <v>32000</v>
      </c>
      <c r="J83" s="30"/>
      <c r="K83" s="58">
        <f>I83+J83-H83</f>
        <v>-4000</v>
      </c>
      <c r="M83" s="75" t="s">
        <v>127</v>
      </c>
      <c r="N83" s="5">
        <v>-154</v>
      </c>
    </row>
    <row r="84" spans="1:14" ht="14.45" customHeight="1" x14ac:dyDescent="0.25">
      <c r="A84" s="54">
        <v>82</v>
      </c>
      <c r="B84" s="46" t="s">
        <v>74</v>
      </c>
      <c r="C84" s="62">
        <v>200</v>
      </c>
      <c r="D84" s="63">
        <v>200</v>
      </c>
      <c r="E84" s="64">
        <f t="shared" si="5"/>
        <v>0</v>
      </c>
      <c r="F84" s="18">
        <v>1400</v>
      </c>
      <c r="G84" s="17">
        <v>24</v>
      </c>
      <c r="H84" s="2">
        <f>15600+F84*G84</f>
        <v>49200</v>
      </c>
      <c r="I84" s="3">
        <f>2400+1200+1200+1200+1200+1200+1200+1200+1200+1200+1200+1200+1400+1400+4200+2800+1400+1400+1400+4200+1400+1400+1400+1400+5600</f>
        <v>45000</v>
      </c>
      <c r="J84" s="7">
        <v>2800</v>
      </c>
      <c r="K84" s="8">
        <f t="shared" ref="K84:K97" si="11">I84+J84-H84</f>
        <v>-1400</v>
      </c>
      <c r="M84" s="39" t="s">
        <v>113</v>
      </c>
      <c r="N84" s="5">
        <v>0</v>
      </c>
    </row>
    <row r="85" spans="1:14" ht="14.45" customHeight="1" x14ac:dyDescent="0.25">
      <c r="A85" s="40">
        <v>83</v>
      </c>
      <c r="B85" s="69" t="s">
        <v>120</v>
      </c>
      <c r="C85" s="62"/>
      <c r="D85" s="63"/>
      <c r="E85" s="64">
        <f t="shared" si="5"/>
        <v>0</v>
      </c>
      <c r="F85" s="18">
        <v>1400</v>
      </c>
      <c r="G85" s="17">
        <v>24</v>
      </c>
      <c r="H85" s="2">
        <f>15600+F85*G85</f>
        <v>49200</v>
      </c>
      <c r="I85" s="3">
        <f>29600+1400+1400+2800+4200+2800+1400+2800</f>
        <v>46400</v>
      </c>
      <c r="J85" s="7">
        <v>1400</v>
      </c>
      <c r="K85" s="8">
        <f t="shared" si="11"/>
        <v>-1400</v>
      </c>
      <c r="M85" s="39" t="s">
        <v>113</v>
      </c>
      <c r="N85" s="5">
        <v>0</v>
      </c>
    </row>
    <row r="86" spans="1:14" s="1" customFormat="1" ht="14.45" customHeight="1" x14ac:dyDescent="0.25">
      <c r="A86" s="54">
        <v>84</v>
      </c>
      <c r="B86" s="70" t="s">
        <v>118</v>
      </c>
      <c r="C86" s="21">
        <v>200</v>
      </c>
      <c r="D86" s="21">
        <v>200</v>
      </c>
      <c r="E86" s="64">
        <f t="shared" si="5"/>
        <v>0</v>
      </c>
      <c r="F86" s="18">
        <v>1400</v>
      </c>
      <c r="G86" s="17">
        <v>24</v>
      </c>
      <c r="H86" s="2">
        <f>15600+F86*G86</f>
        <v>49200</v>
      </c>
      <c r="I86" s="7">
        <f>29600+1400+1400+2800+1400+1400+1400+1400+1400+1400+1400+1400+1400</f>
        <v>47800</v>
      </c>
      <c r="J86" s="7"/>
      <c r="K86" s="8">
        <f t="shared" si="11"/>
        <v>-1400</v>
      </c>
      <c r="L86" s="45"/>
      <c r="M86" s="39" t="s">
        <v>113</v>
      </c>
      <c r="N86" s="1">
        <v>0</v>
      </c>
    </row>
    <row r="87" spans="1:14" ht="14.45" customHeight="1" x14ac:dyDescent="0.25">
      <c r="A87" s="54">
        <v>85</v>
      </c>
      <c r="B87" s="46" t="s">
        <v>75</v>
      </c>
      <c r="C87" s="62">
        <v>200</v>
      </c>
      <c r="D87" s="63"/>
      <c r="E87" s="66">
        <f t="shared" si="5"/>
        <v>-200</v>
      </c>
      <c r="F87" s="18">
        <v>1400</v>
      </c>
      <c r="G87" s="17">
        <v>24</v>
      </c>
      <c r="H87" s="2">
        <f>15600+F87*G87</f>
        <v>49200</v>
      </c>
      <c r="I87" s="3">
        <f>4800+8400+15000</f>
        <v>28200</v>
      </c>
      <c r="J87" s="7"/>
      <c r="K87" s="56">
        <f t="shared" si="11"/>
        <v>-21000</v>
      </c>
      <c r="M87" s="39" t="s">
        <v>113</v>
      </c>
      <c r="N87" s="5">
        <v>0</v>
      </c>
    </row>
    <row r="88" spans="1:14" ht="14.45" customHeight="1" x14ac:dyDescent="0.25">
      <c r="A88" s="54">
        <v>86</v>
      </c>
      <c r="B88" s="46" t="s">
        <v>76</v>
      </c>
      <c r="C88" s="62">
        <v>200</v>
      </c>
      <c r="D88" s="63">
        <v>200</v>
      </c>
      <c r="E88" s="64">
        <f t="shared" si="5"/>
        <v>0</v>
      </c>
      <c r="F88" s="18">
        <v>1400</v>
      </c>
      <c r="G88" s="17">
        <v>24</v>
      </c>
      <c r="H88" s="2">
        <f>15600+F88*G88</f>
        <v>49200</v>
      </c>
      <c r="I88" s="3">
        <f>2400+3600+3600+2400+1200+3600+5000+5000+2000+5000+2800+1400+2800+2800+1400+1416.3</f>
        <v>46416.3</v>
      </c>
      <c r="J88" s="7">
        <v>1383.7</v>
      </c>
      <c r="K88" s="8">
        <f t="shared" si="11"/>
        <v>-1400</v>
      </c>
      <c r="M88" s="39" t="s">
        <v>113</v>
      </c>
      <c r="N88" s="5">
        <v>0</v>
      </c>
    </row>
    <row r="89" spans="1:14" ht="14.45" customHeight="1" x14ac:dyDescent="0.25">
      <c r="A89" s="15">
        <v>87</v>
      </c>
      <c r="B89" s="46" t="s">
        <v>77</v>
      </c>
      <c r="C89" s="62"/>
      <c r="D89" s="63"/>
      <c r="E89" s="64">
        <f t="shared" si="5"/>
        <v>0</v>
      </c>
      <c r="F89" s="18">
        <v>1400</v>
      </c>
      <c r="G89" s="17">
        <v>24</v>
      </c>
      <c r="H89" s="6">
        <f t="shared" ref="H89:H97" si="12">15600+F89*G89</f>
        <v>49200</v>
      </c>
      <c r="I89" s="3">
        <f>2800+2800</f>
        <v>5600</v>
      </c>
      <c r="J89" s="7">
        <v>2800</v>
      </c>
      <c r="K89" s="56">
        <f t="shared" si="11"/>
        <v>-40800</v>
      </c>
      <c r="M89" s="75" t="s">
        <v>126</v>
      </c>
      <c r="N89" s="5">
        <v>-1001</v>
      </c>
    </row>
    <row r="90" spans="1:14" ht="14.45" customHeight="1" x14ac:dyDescent="0.25">
      <c r="A90" s="15">
        <v>88</v>
      </c>
      <c r="B90" s="46" t="s">
        <v>78</v>
      </c>
      <c r="C90" s="62"/>
      <c r="D90" s="63"/>
      <c r="E90" s="64">
        <f t="shared" si="5"/>
        <v>0</v>
      </c>
      <c r="F90" s="18">
        <v>1400</v>
      </c>
      <c r="G90" s="17">
        <v>24</v>
      </c>
      <c r="H90" s="6">
        <f t="shared" si="12"/>
        <v>49200</v>
      </c>
      <c r="I90" s="3"/>
      <c r="J90" s="7"/>
      <c r="K90" s="56">
        <f t="shared" si="11"/>
        <v>-49200</v>
      </c>
      <c r="M90" s="75" t="s">
        <v>126</v>
      </c>
      <c r="N90" s="5">
        <v>-1001</v>
      </c>
    </row>
    <row r="91" spans="1:14" ht="14.45" customHeight="1" x14ac:dyDescent="0.25">
      <c r="A91" s="54">
        <v>89</v>
      </c>
      <c r="B91" s="46" t="s">
        <v>116</v>
      </c>
      <c r="C91" s="21">
        <v>200</v>
      </c>
      <c r="D91" s="21">
        <v>200</v>
      </c>
      <c r="E91" s="64">
        <f t="shared" si="5"/>
        <v>0</v>
      </c>
      <c r="F91" s="18">
        <v>1400</v>
      </c>
      <c r="G91" s="17">
        <v>24</v>
      </c>
      <c r="H91" s="2">
        <f t="shared" si="12"/>
        <v>49200</v>
      </c>
      <c r="I91" s="3">
        <f>23370+1400+2800+1400+1400+1400+2800+1400+1400+4200+1400+1400+2800</f>
        <v>47170</v>
      </c>
      <c r="J91" s="7">
        <v>1400</v>
      </c>
      <c r="K91" s="8">
        <f t="shared" si="11"/>
        <v>-630</v>
      </c>
      <c r="M91" s="75" t="s">
        <v>124</v>
      </c>
      <c r="N91" s="5">
        <v>-770</v>
      </c>
    </row>
    <row r="92" spans="1:14" ht="14.45" customHeight="1" x14ac:dyDescent="0.25">
      <c r="A92" s="54">
        <v>90</v>
      </c>
      <c r="B92" s="46" t="s">
        <v>79</v>
      </c>
      <c r="C92" s="62">
        <v>200</v>
      </c>
      <c r="D92" s="63">
        <v>200</v>
      </c>
      <c r="E92" s="64">
        <f t="shared" si="5"/>
        <v>0</v>
      </c>
      <c r="F92" s="18">
        <v>1400</v>
      </c>
      <c r="G92" s="17">
        <v>24</v>
      </c>
      <c r="H92" s="2">
        <f t="shared" si="12"/>
        <v>49200</v>
      </c>
      <c r="I92" s="3">
        <f>1200+1200+1200+1200+1200+1200+1200+1200+1200+1200+1200+1200+1200+1400+1400+1400+1400+1400+1400+1400+1400+1400+1400+1400+5000+1400+1400+1400+3400+1400+1400+1400</f>
        <v>47800</v>
      </c>
      <c r="J92" s="7">
        <v>1400</v>
      </c>
      <c r="K92" s="49">
        <f t="shared" si="11"/>
        <v>0</v>
      </c>
      <c r="M92" s="39" t="s">
        <v>113</v>
      </c>
      <c r="N92" s="5">
        <v>0</v>
      </c>
    </row>
    <row r="93" spans="1:14" ht="14.45" customHeight="1" x14ac:dyDescent="0.25">
      <c r="A93" s="15">
        <v>91</v>
      </c>
      <c r="B93" s="46" t="s">
        <v>80</v>
      </c>
      <c r="C93" s="62"/>
      <c r="D93" s="63"/>
      <c r="E93" s="64">
        <f t="shared" si="5"/>
        <v>0</v>
      </c>
      <c r="F93" s="18">
        <v>1400</v>
      </c>
      <c r="G93" s="17">
        <v>24</v>
      </c>
      <c r="H93" s="6">
        <f t="shared" si="12"/>
        <v>49200</v>
      </c>
      <c r="I93" s="3"/>
      <c r="J93" s="7"/>
      <c r="K93" s="56">
        <f t="shared" si="11"/>
        <v>-49200</v>
      </c>
      <c r="M93" s="75" t="s">
        <v>126</v>
      </c>
      <c r="N93" s="5">
        <v>-1001</v>
      </c>
    </row>
    <row r="94" spans="1:14" ht="14.45" customHeight="1" x14ac:dyDescent="0.25">
      <c r="A94" s="54">
        <v>92</v>
      </c>
      <c r="B94" s="46" t="s">
        <v>81</v>
      </c>
      <c r="C94" s="62">
        <v>200</v>
      </c>
      <c r="D94" s="63">
        <v>200</v>
      </c>
      <c r="E94" s="64">
        <f t="shared" ref="E94:E133" si="13">D94-C94</f>
        <v>0</v>
      </c>
      <c r="F94" s="18">
        <v>1400</v>
      </c>
      <c r="G94" s="17">
        <v>24</v>
      </c>
      <c r="H94" s="2">
        <f t="shared" si="12"/>
        <v>49200</v>
      </c>
      <c r="I94" s="3">
        <f>1200+12000+3600+3600+2400+2600+2600+1600+2800+2800+2800+10000</f>
        <v>48000</v>
      </c>
      <c r="J94" s="7"/>
      <c r="K94" s="8">
        <f t="shared" si="11"/>
        <v>-1200</v>
      </c>
      <c r="M94" s="39" t="s">
        <v>113</v>
      </c>
      <c r="N94" s="5">
        <v>0</v>
      </c>
    </row>
    <row r="95" spans="1:14" ht="14.45" customHeight="1" x14ac:dyDescent="0.25">
      <c r="A95" s="54">
        <v>93</v>
      </c>
      <c r="B95" s="46" t="s">
        <v>82</v>
      </c>
      <c r="C95" s="62">
        <v>200</v>
      </c>
      <c r="D95" s="63">
        <v>200</v>
      </c>
      <c r="E95" s="64">
        <f t="shared" si="13"/>
        <v>0</v>
      </c>
      <c r="F95" s="18">
        <v>1400</v>
      </c>
      <c r="G95" s="17">
        <v>24</v>
      </c>
      <c r="H95" s="2">
        <f t="shared" si="12"/>
        <v>49200</v>
      </c>
      <c r="I95" s="3">
        <f>1200+2400+1200+2400+2400+2400+1200+1200+7000+2800+1400+2800+1400+2600+9800+2800+1400</f>
        <v>46400</v>
      </c>
      <c r="J95" s="7"/>
      <c r="K95" s="8">
        <f t="shared" si="11"/>
        <v>-2800</v>
      </c>
      <c r="M95" s="39" t="s">
        <v>113</v>
      </c>
      <c r="N95" s="5">
        <v>0</v>
      </c>
    </row>
    <row r="96" spans="1:14" ht="14.45" customHeight="1" x14ac:dyDescent="0.25">
      <c r="A96" s="54">
        <v>94</v>
      </c>
      <c r="B96" s="46" t="s">
        <v>83</v>
      </c>
      <c r="C96" s="62">
        <v>200</v>
      </c>
      <c r="D96" s="63">
        <v>200</v>
      </c>
      <c r="E96" s="64">
        <f t="shared" si="13"/>
        <v>0</v>
      </c>
      <c r="F96" s="18">
        <v>1400</v>
      </c>
      <c r="G96" s="17">
        <v>24</v>
      </c>
      <c r="H96" s="2">
        <f t="shared" si="12"/>
        <v>49200</v>
      </c>
      <c r="I96" s="3">
        <f>5000</f>
        <v>5000</v>
      </c>
      <c r="J96" s="7"/>
      <c r="K96" s="56">
        <f t="shared" si="11"/>
        <v>-44200</v>
      </c>
      <c r="M96" s="39" t="s">
        <v>113</v>
      </c>
      <c r="N96" s="5">
        <v>0</v>
      </c>
    </row>
    <row r="97" spans="1:14" ht="14.45" customHeight="1" x14ac:dyDescent="0.25">
      <c r="A97" s="54">
        <v>95</v>
      </c>
      <c r="B97" s="46" t="s">
        <v>84</v>
      </c>
      <c r="C97" s="62">
        <v>200</v>
      </c>
      <c r="D97" s="63">
        <v>200</v>
      </c>
      <c r="E97" s="64">
        <f>D97-C97</f>
        <v>0</v>
      </c>
      <c r="F97" s="18">
        <v>1400</v>
      </c>
      <c r="G97" s="17">
        <v>24</v>
      </c>
      <c r="H97" s="2">
        <f t="shared" si="12"/>
        <v>49200</v>
      </c>
      <c r="I97" s="3">
        <f>2400+2400+4000+1200+5600+4200+7000+5000+8400+8400</f>
        <v>48600</v>
      </c>
      <c r="J97" s="7"/>
      <c r="K97" s="8">
        <f t="shared" si="11"/>
        <v>-600</v>
      </c>
      <c r="M97" s="39" t="s">
        <v>113</v>
      </c>
      <c r="N97" s="5">
        <v>0</v>
      </c>
    </row>
    <row r="98" spans="1:14" ht="14.45" customHeight="1" x14ac:dyDescent="0.25">
      <c r="A98" s="53">
        <v>96</v>
      </c>
      <c r="B98" s="115" t="s">
        <v>138</v>
      </c>
      <c r="C98" s="123">
        <v>200</v>
      </c>
      <c r="D98" s="117"/>
      <c r="E98" s="121">
        <f>D98-C98</f>
        <v>-200</v>
      </c>
      <c r="F98" s="18">
        <v>1400</v>
      </c>
      <c r="G98" s="77">
        <v>21</v>
      </c>
      <c r="H98" s="2">
        <f>F98*G98</f>
        <v>29400</v>
      </c>
      <c r="I98" s="30">
        <f>6000</f>
        <v>6000</v>
      </c>
      <c r="J98" s="30">
        <v>3000</v>
      </c>
      <c r="K98" s="58">
        <f>I98+J98-H98</f>
        <v>-20400</v>
      </c>
      <c r="M98" s="39" t="s">
        <v>113</v>
      </c>
      <c r="N98" s="5">
        <v>0</v>
      </c>
    </row>
    <row r="99" spans="1:14" ht="14.45" customHeight="1" x14ac:dyDescent="0.25">
      <c r="A99" s="53">
        <v>97</v>
      </c>
      <c r="B99" s="116"/>
      <c r="C99" s="124"/>
      <c r="D99" s="118"/>
      <c r="E99" s="122"/>
      <c r="F99" s="18">
        <v>1400</v>
      </c>
      <c r="G99" s="77">
        <v>21</v>
      </c>
      <c r="H99" s="2">
        <f>F99*G99</f>
        <v>29400</v>
      </c>
      <c r="I99" s="30">
        <f>8400+2800+5000+6000</f>
        <v>22200</v>
      </c>
      <c r="J99" s="30">
        <f>3000+1932.85</f>
        <v>4932.8500000000004</v>
      </c>
      <c r="K99" s="38">
        <f>I99+J99-H99</f>
        <v>-2267.1500000000015</v>
      </c>
      <c r="M99" s="39" t="s">
        <v>113</v>
      </c>
      <c r="N99" s="5">
        <v>0</v>
      </c>
    </row>
    <row r="100" spans="1:14" ht="14.45" customHeight="1" x14ac:dyDescent="0.25">
      <c r="A100" s="54">
        <v>98</v>
      </c>
      <c r="B100" s="46" t="s">
        <v>85</v>
      </c>
      <c r="C100" s="62">
        <v>200</v>
      </c>
      <c r="D100" s="63">
        <v>200</v>
      </c>
      <c r="E100" s="64">
        <f t="shared" si="13"/>
        <v>0</v>
      </c>
      <c r="F100" s="18">
        <v>1400</v>
      </c>
      <c r="G100" s="17">
        <v>24</v>
      </c>
      <c r="H100" s="2">
        <f>15600+F100*G100</f>
        <v>49200</v>
      </c>
      <c r="I100" s="3">
        <f>12770+13000+10000+10000</f>
        <v>45770</v>
      </c>
      <c r="J100" s="7"/>
      <c r="K100" s="56">
        <f t="shared" ref="K100:K114" si="14">I100+J100-H100</f>
        <v>-3430</v>
      </c>
      <c r="M100" s="75" t="s">
        <v>124</v>
      </c>
      <c r="N100" s="5">
        <v>-770</v>
      </c>
    </row>
    <row r="101" spans="1:14" ht="14.45" customHeight="1" x14ac:dyDescent="0.25">
      <c r="A101" s="54">
        <v>99</v>
      </c>
      <c r="B101" s="46" t="s">
        <v>86</v>
      </c>
      <c r="C101" s="62">
        <v>200</v>
      </c>
      <c r="D101" s="63">
        <v>200</v>
      </c>
      <c r="E101" s="64">
        <f t="shared" si="13"/>
        <v>0</v>
      </c>
      <c r="F101" s="18">
        <v>1400</v>
      </c>
      <c r="G101" s="17">
        <v>24</v>
      </c>
      <c r="H101" s="2">
        <f>15600+F101*G101</f>
        <v>49200</v>
      </c>
      <c r="I101" s="3">
        <f>8408.68+3603.72+3600+11200+3557.6+9800+5600</f>
        <v>45770</v>
      </c>
      <c r="J101" s="7">
        <v>3430</v>
      </c>
      <c r="K101" s="49">
        <f t="shared" si="14"/>
        <v>0</v>
      </c>
      <c r="M101" s="75" t="s">
        <v>124</v>
      </c>
      <c r="N101" s="5">
        <v>-770</v>
      </c>
    </row>
    <row r="102" spans="1:14" ht="14.45" customHeight="1" x14ac:dyDescent="0.25">
      <c r="A102" s="54">
        <v>100</v>
      </c>
      <c r="B102" s="46" t="s">
        <v>87</v>
      </c>
      <c r="C102" s="62">
        <v>200</v>
      </c>
      <c r="D102" s="63">
        <v>200</v>
      </c>
      <c r="E102" s="64">
        <f t="shared" si="13"/>
        <v>0</v>
      </c>
      <c r="F102" s="18">
        <v>1400</v>
      </c>
      <c r="G102" s="17">
        <v>24</v>
      </c>
      <c r="H102" s="2">
        <f t="shared" ref="H102:H106" si="15">15600+F102*G102</f>
        <v>49200</v>
      </c>
      <c r="I102" s="3">
        <f>7662+7662+7200+7200+14000</f>
        <v>43724</v>
      </c>
      <c r="J102" s="7"/>
      <c r="K102" s="56">
        <f t="shared" si="14"/>
        <v>-5476</v>
      </c>
      <c r="M102" s="75" t="s">
        <v>125</v>
      </c>
      <c r="N102" s="5">
        <v>-847</v>
      </c>
    </row>
    <row r="103" spans="1:14" ht="14.45" customHeight="1" x14ac:dyDescent="0.25">
      <c r="A103" s="54">
        <v>101</v>
      </c>
      <c r="B103" s="46" t="s">
        <v>142</v>
      </c>
      <c r="C103" s="62">
        <v>200</v>
      </c>
      <c r="D103" s="63">
        <v>200</v>
      </c>
      <c r="E103" s="64">
        <f t="shared" si="13"/>
        <v>0</v>
      </c>
      <c r="F103" s="18">
        <v>1400</v>
      </c>
      <c r="G103" s="17">
        <v>24</v>
      </c>
      <c r="H103" s="2">
        <f t="shared" si="15"/>
        <v>49200</v>
      </c>
      <c r="I103" s="3">
        <f>7662+7662+7200+7200+14000</f>
        <v>43724</v>
      </c>
      <c r="J103" s="7"/>
      <c r="K103" s="56">
        <f t="shared" si="14"/>
        <v>-5476</v>
      </c>
      <c r="M103" s="75" t="s">
        <v>125</v>
      </c>
      <c r="N103" s="5">
        <v>-847</v>
      </c>
    </row>
    <row r="104" spans="1:14" ht="14.45" customHeight="1" x14ac:dyDescent="0.25">
      <c r="A104" s="15">
        <v>102</v>
      </c>
      <c r="B104" s="46" t="s">
        <v>144</v>
      </c>
      <c r="C104" s="62"/>
      <c r="D104" s="63"/>
      <c r="E104" s="64">
        <f t="shared" si="13"/>
        <v>0</v>
      </c>
      <c r="F104" s="18">
        <v>1400</v>
      </c>
      <c r="G104" s="17">
        <v>24</v>
      </c>
      <c r="H104" s="6">
        <f t="shared" si="15"/>
        <v>49200</v>
      </c>
      <c r="I104" s="3">
        <f>45000</f>
        <v>45000</v>
      </c>
      <c r="J104" s="7">
        <v>1400</v>
      </c>
      <c r="K104" s="8">
        <f t="shared" si="14"/>
        <v>-2800</v>
      </c>
      <c r="M104" s="75" t="s">
        <v>126</v>
      </c>
      <c r="N104" s="5">
        <v>-1001</v>
      </c>
    </row>
    <row r="105" spans="1:14" ht="14.45" customHeight="1" x14ac:dyDescent="0.25">
      <c r="A105" s="54">
        <v>103</v>
      </c>
      <c r="B105" s="46" t="s">
        <v>145</v>
      </c>
      <c r="C105" s="62"/>
      <c r="D105" s="63"/>
      <c r="E105" s="64">
        <f t="shared" si="13"/>
        <v>0</v>
      </c>
      <c r="F105" s="18">
        <v>1400</v>
      </c>
      <c r="G105" s="17">
        <v>24</v>
      </c>
      <c r="H105" s="2">
        <f t="shared" si="15"/>
        <v>49200</v>
      </c>
      <c r="I105" s="3"/>
      <c r="J105" s="7">
        <v>12600</v>
      </c>
      <c r="K105" s="56">
        <f t="shared" si="14"/>
        <v>-36600</v>
      </c>
      <c r="M105" s="75" t="s">
        <v>126</v>
      </c>
      <c r="N105" s="5">
        <v>-1001</v>
      </c>
    </row>
    <row r="106" spans="1:14" ht="14.45" customHeight="1" x14ac:dyDescent="0.25">
      <c r="A106" s="15">
        <v>104</v>
      </c>
      <c r="B106" s="46" t="s">
        <v>88</v>
      </c>
      <c r="C106" s="62"/>
      <c r="D106" s="63"/>
      <c r="E106" s="64">
        <f t="shared" si="13"/>
        <v>0</v>
      </c>
      <c r="F106" s="18">
        <v>1400</v>
      </c>
      <c r="G106" s="17">
        <v>24</v>
      </c>
      <c r="H106" s="6">
        <f t="shared" si="15"/>
        <v>49200</v>
      </c>
      <c r="I106" s="3">
        <f>3000</f>
        <v>3000</v>
      </c>
      <c r="J106" s="7"/>
      <c r="K106" s="56">
        <f t="shared" si="14"/>
        <v>-46200</v>
      </c>
      <c r="M106" s="75" t="s">
        <v>126</v>
      </c>
      <c r="N106" s="5">
        <v>-1001</v>
      </c>
    </row>
    <row r="107" spans="1:14" ht="14.45" customHeight="1" x14ac:dyDescent="0.25">
      <c r="A107" s="54">
        <v>105</v>
      </c>
      <c r="B107" s="46" t="s">
        <v>89</v>
      </c>
      <c r="C107" s="62">
        <v>200</v>
      </c>
      <c r="D107" s="63">
        <v>200</v>
      </c>
      <c r="E107" s="64">
        <f t="shared" si="13"/>
        <v>0</v>
      </c>
      <c r="F107" s="18">
        <v>1400</v>
      </c>
      <c r="G107" s="17">
        <v>24</v>
      </c>
      <c r="H107" s="2">
        <f>15600+F107*G107</f>
        <v>49200</v>
      </c>
      <c r="I107" s="3">
        <f>10800+4800+1400+2500+7300+600+1400+5000+2000+1400+1400+2000+1156.14</f>
        <v>41756.14</v>
      </c>
      <c r="J107" s="7">
        <v>7500</v>
      </c>
      <c r="K107" s="68">
        <f t="shared" si="14"/>
        <v>56.139999999999418</v>
      </c>
      <c r="M107" s="39" t="s">
        <v>113</v>
      </c>
      <c r="N107" s="5">
        <v>0</v>
      </c>
    </row>
    <row r="108" spans="1:14" ht="14.45" customHeight="1" x14ac:dyDescent="0.25">
      <c r="A108" s="15">
        <v>106</v>
      </c>
      <c r="B108" s="46" t="s">
        <v>90</v>
      </c>
      <c r="C108" s="62"/>
      <c r="D108" s="63"/>
      <c r="E108" s="64">
        <f t="shared" si="13"/>
        <v>0</v>
      </c>
      <c r="F108" s="18">
        <v>1400</v>
      </c>
      <c r="G108" s="17">
        <v>24</v>
      </c>
      <c r="H108" s="6">
        <f t="shared" ref="H108:H109" si="16">15600+F108*G108</f>
        <v>49200</v>
      </c>
      <c r="I108" s="3"/>
      <c r="J108" s="7"/>
      <c r="K108" s="56">
        <f t="shared" si="14"/>
        <v>-49200</v>
      </c>
      <c r="M108" s="75" t="s">
        <v>126</v>
      </c>
      <c r="N108" s="5">
        <v>-1001</v>
      </c>
    </row>
    <row r="109" spans="1:14" ht="14.45" customHeight="1" x14ac:dyDescent="0.25">
      <c r="A109" s="15">
        <v>107</v>
      </c>
      <c r="B109" s="46" t="s">
        <v>91</v>
      </c>
      <c r="C109" s="62"/>
      <c r="D109" s="63"/>
      <c r="E109" s="64">
        <f t="shared" si="13"/>
        <v>0</v>
      </c>
      <c r="F109" s="18">
        <v>1400</v>
      </c>
      <c r="G109" s="17">
        <v>24</v>
      </c>
      <c r="H109" s="6">
        <f t="shared" si="16"/>
        <v>49200</v>
      </c>
      <c r="I109" s="3">
        <f>29201+1550</f>
        <v>30751</v>
      </c>
      <c r="J109" s="7"/>
      <c r="K109" s="56">
        <f t="shared" si="14"/>
        <v>-18449</v>
      </c>
      <c r="M109" s="75" t="s">
        <v>126</v>
      </c>
      <c r="N109" s="5">
        <v>-1001</v>
      </c>
    </row>
    <row r="110" spans="1:14" ht="14.45" customHeight="1" x14ac:dyDescent="0.25">
      <c r="A110" s="54">
        <v>108</v>
      </c>
      <c r="B110" s="46" t="s">
        <v>92</v>
      </c>
      <c r="C110" s="62">
        <v>200</v>
      </c>
      <c r="D110" s="63">
        <v>200</v>
      </c>
      <c r="E110" s="64">
        <f t="shared" si="13"/>
        <v>0</v>
      </c>
      <c r="F110" s="18">
        <v>1400</v>
      </c>
      <c r="G110" s="17">
        <v>24</v>
      </c>
      <c r="H110" s="2">
        <f>15600+F110*G110</f>
        <v>49200</v>
      </c>
      <c r="I110" s="3">
        <f>1200+1200+2400+1200+2400+1200+1200+1200+2400+2400+2400+2400+2400+2800+1400+7000+2800+2800+4200</f>
        <v>45000</v>
      </c>
      <c r="J110" s="7">
        <v>4200</v>
      </c>
      <c r="K110" s="49">
        <f t="shared" si="14"/>
        <v>0</v>
      </c>
      <c r="M110" s="39" t="s">
        <v>113</v>
      </c>
      <c r="N110" s="5">
        <v>0</v>
      </c>
    </row>
    <row r="111" spans="1:14" ht="14.45" customHeight="1" x14ac:dyDescent="0.25">
      <c r="A111" s="55">
        <v>109</v>
      </c>
      <c r="B111" s="46" t="s">
        <v>93</v>
      </c>
      <c r="C111" s="62">
        <v>200</v>
      </c>
      <c r="D111" s="63">
        <v>200</v>
      </c>
      <c r="E111" s="64">
        <f t="shared" si="13"/>
        <v>0</v>
      </c>
      <c r="F111" s="18">
        <v>1400</v>
      </c>
      <c r="G111" s="17">
        <v>24</v>
      </c>
      <c r="H111" s="2">
        <f>15600+F111*G111</f>
        <v>49200</v>
      </c>
      <c r="I111" s="3">
        <f>1200+1200+2400+1200+2400+1200+1200+1200+1200+2400+1400+2800+1400+1400+1400+1400+1400+1400+1400+1400+1400+1400+1400+2800+2800+2800+2800+3400</f>
        <v>49800</v>
      </c>
      <c r="J111" s="7"/>
      <c r="K111" s="49">
        <f t="shared" si="14"/>
        <v>600</v>
      </c>
      <c r="M111" s="39" t="s">
        <v>113</v>
      </c>
      <c r="N111" s="5">
        <v>0</v>
      </c>
    </row>
    <row r="112" spans="1:14" ht="14.45" customHeight="1" x14ac:dyDescent="0.25">
      <c r="A112" s="55">
        <v>110</v>
      </c>
      <c r="B112" s="46" t="s">
        <v>136</v>
      </c>
      <c r="C112" s="62">
        <v>200</v>
      </c>
      <c r="D112" s="63">
        <v>200</v>
      </c>
      <c r="E112" s="64">
        <f t="shared" si="13"/>
        <v>0</v>
      </c>
      <c r="F112" s="18">
        <v>1400</v>
      </c>
      <c r="G112" s="17">
        <v>24</v>
      </c>
      <c r="H112" s="2">
        <f>15600+F112*G112</f>
        <v>49200</v>
      </c>
      <c r="I112" s="3">
        <f>2400+2400+2400+1200+1200+1200+2400+1200+2400+2400+2400+1200+2400+2400+9000+8400</f>
        <v>45000</v>
      </c>
      <c r="J112" s="7"/>
      <c r="K112" s="56">
        <f t="shared" si="14"/>
        <v>-4200</v>
      </c>
      <c r="M112" s="39" t="s">
        <v>113</v>
      </c>
      <c r="N112" s="5">
        <v>0</v>
      </c>
    </row>
    <row r="113" spans="1:14" ht="14.45" customHeight="1" x14ac:dyDescent="0.25">
      <c r="A113" s="54">
        <v>111</v>
      </c>
      <c r="B113" s="46" t="s">
        <v>94</v>
      </c>
      <c r="C113" s="62">
        <v>200</v>
      </c>
      <c r="D113" s="63">
        <v>200</v>
      </c>
      <c r="E113" s="64">
        <f t="shared" si="13"/>
        <v>0</v>
      </c>
      <c r="F113" s="18">
        <v>1400</v>
      </c>
      <c r="G113" s="17">
        <v>24</v>
      </c>
      <c r="H113" s="2">
        <f>15600+F113*G113</f>
        <v>49200</v>
      </c>
      <c r="I113" s="3">
        <f>1200+1200+1200+1200+1200+1200+1200+1200+2400+1200+1200+1400+1400+1400+1400+1400+1400+1400+1400+1400+2600+1400+1400+1400+1400+1400+1400+1400+1400+3000+1500+1500+1500+1500</f>
        <v>49800</v>
      </c>
      <c r="J113" s="7">
        <v>1500</v>
      </c>
      <c r="K113" s="49">
        <f t="shared" si="14"/>
        <v>2100</v>
      </c>
      <c r="M113" s="39" t="s">
        <v>113</v>
      </c>
      <c r="N113" s="5">
        <v>0</v>
      </c>
    </row>
    <row r="114" spans="1:14" ht="14.45" customHeight="1" x14ac:dyDescent="0.25">
      <c r="A114" s="54">
        <v>112</v>
      </c>
      <c r="B114" s="46" t="s">
        <v>95</v>
      </c>
      <c r="C114" s="62">
        <v>200</v>
      </c>
      <c r="D114" s="63"/>
      <c r="E114" s="66">
        <f t="shared" si="13"/>
        <v>-200</v>
      </c>
      <c r="F114" s="18">
        <v>1400</v>
      </c>
      <c r="G114" s="17">
        <v>24</v>
      </c>
      <c r="H114" s="2">
        <f>15600+F114*G114</f>
        <v>49200</v>
      </c>
      <c r="I114" s="3">
        <f>3600+7800+10000+3000</f>
        <v>24400</v>
      </c>
      <c r="J114" s="7">
        <v>1400</v>
      </c>
      <c r="K114" s="56">
        <f t="shared" si="14"/>
        <v>-23400</v>
      </c>
      <c r="M114" s="39" t="s">
        <v>113</v>
      </c>
      <c r="N114" s="5">
        <v>0</v>
      </c>
    </row>
    <row r="115" spans="1:14" ht="14.45" customHeight="1" x14ac:dyDescent="0.25">
      <c r="A115" s="54">
        <v>113</v>
      </c>
      <c r="B115" s="61" t="s">
        <v>140</v>
      </c>
      <c r="C115" s="35">
        <v>200</v>
      </c>
      <c r="D115" s="21"/>
      <c r="E115" s="66">
        <f t="shared" si="13"/>
        <v>-200</v>
      </c>
      <c r="F115" s="18">
        <v>1400</v>
      </c>
      <c r="G115" s="17">
        <v>24</v>
      </c>
      <c r="H115" s="2">
        <f>3600+F115*G115</f>
        <v>37200</v>
      </c>
      <c r="I115" s="30"/>
      <c r="J115" s="30"/>
      <c r="K115" s="58">
        <f>I115+J115-H115</f>
        <v>-37200</v>
      </c>
      <c r="M115" s="39" t="s">
        <v>113</v>
      </c>
      <c r="N115" s="5">
        <v>0</v>
      </c>
    </row>
    <row r="116" spans="1:14" ht="14.45" customHeight="1" x14ac:dyDescent="0.25">
      <c r="A116" s="54">
        <v>114</v>
      </c>
      <c r="B116" s="46" t="s">
        <v>96</v>
      </c>
      <c r="C116" s="62">
        <v>200</v>
      </c>
      <c r="D116" s="63"/>
      <c r="E116" s="66">
        <f t="shared" si="13"/>
        <v>-200</v>
      </c>
      <c r="F116" s="18">
        <v>1400</v>
      </c>
      <c r="G116" s="17">
        <v>24</v>
      </c>
      <c r="H116" s="2">
        <f>15600+F116*G116</f>
        <v>49200</v>
      </c>
      <c r="I116" s="3">
        <f>2600+2400+1200+1200+1200+1200+1200+1200+1200+1200+1400+1400+1400+1400+1400+1400+2800+2800+1400+1400+1400+2800+1400+2800+5400+1200</f>
        <v>46400</v>
      </c>
      <c r="J116" s="7">
        <v>1400</v>
      </c>
      <c r="K116" s="8">
        <f>I116+J116-H116</f>
        <v>-1400</v>
      </c>
      <c r="M116" s="39" t="s">
        <v>113</v>
      </c>
      <c r="N116" s="5">
        <v>0</v>
      </c>
    </row>
    <row r="117" spans="1:14" ht="14.45" customHeight="1" x14ac:dyDescent="0.25">
      <c r="A117" s="54">
        <v>115</v>
      </c>
      <c r="B117" s="46" t="s">
        <v>97</v>
      </c>
      <c r="C117" s="62">
        <v>200</v>
      </c>
      <c r="D117" s="63">
        <v>200</v>
      </c>
      <c r="E117" s="64">
        <f t="shared" si="13"/>
        <v>0</v>
      </c>
      <c r="F117" s="18">
        <v>1400</v>
      </c>
      <c r="G117" s="17">
        <v>24</v>
      </c>
      <c r="H117" s="2">
        <f>15600+F117*G117</f>
        <v>49200</v>
      </c>
      <c r="I117" s="3">
        <f>1200+3600+2400+1200+1200+4370+1200+1200+1200+1800+1400+2600+1300+1500+2900+2700+1400+1400+2800+2800+1400+2800+1400+630</f>
        <v>46400</v>
      </c>
      <c r="J117" s="7">
        <v>2800</v>
      </c>
      <c r="K117" s="49">
        <f t="shared" ref="K117:K134" si="17">I117+J117-H117</f>
        <v>0</v>
      </c>
      <c r="M117" s="75" t="s">
        <v>124</v>
      </c>
      <c r="N117" s="5">
        <v>-770</v>
      </c>
    </row>
    <row r="118" spans="1:14" ht="14.45" customHeight="1" x14ac:dyDescent="0.25">
      <c r="A118" s="15">
        <v>116</v>
      </c>
      <c r="B118" s="46" t="s">
        <v>98</v>
      </c>
      <c r="C118" s="62"/>
      <c r="D118" s="63"/>
      <c r="E118" s="64">
        <f t="shared" si="13"/>
        <v>0</v>
      </c>
      <c r="F118" s="18">
        <v>1400</v>
      </c>
      <c r="G118" s="17">
        <v>24</v>
      </c>
      <c r="H118" s="6">
        <f>15600+F118*G118</f>
        <v>49200</v>
      </c>
      <c r="I118" s="3">
        <f>7000+5000+2000+5000+2600+2500+2500+2500+4500+4800+2500+4800</f>
        <v>45700</v>
      </c>
      <c r="J118" s="7">
        <v>2400</v>
      </c>
      <c r="K118" s="8">
        <f t="shared" si="17"/>
        <v>-1100</v>
      </c>
      <c r="M118" s="75" t="s">
        <v>126</v>
      </c>
      <c r="N118" s="5">
        <v>-1001</v>
      </c>
    </row>
    <row r="119" spans="1:14" ht="14.45" customHeight="1" x14ac:dyDescent="0.25">
      <c r="A119" s="54">
        <v>117</v>
      </c>
      <c r="B119" s="46" t="s">
        <v>99</v>
      </c>
      <c r="C119" s="62">
        <v>200</v>
      </c>
      <c r="D119" s="63">
        <v>200</v>
      </c>
      <c r="E119" s="64">
        <f t="shared" si="13"/>
        <v>0</v>
      </c>
      <c r="F119" s="18">
        <v>1400</v>
      </c>
      <c r="G119" s="17">
        <v>24</v>
      </c>
      <c r="H119" s="2">
        <f>15600+F119*G119</f>
        <v>49200</v>
      </c>
      <c r="I119" s="3">
        <f>13893+3877+4200+2800+1400+1400+2800+2800+1400+1400+4200+1400+2800+1400</f>
        <v>45770</v>
      </c>
      <c r="J119" s="7">
        <v>630</v>
      </c>
      <c r="K119" s="8">
        <f t="shared" si="17"/>
        <v>-2800</v>
      </c>
      <c r="M119" s="75" t="s">
        <v>124</v>
      </c>
      <c r="N119" s="5">
        <v>-770</v>
      </c>
    </row>
    <row r="120" spans="1:14" ht="14.45" customHeight="1" x14ac:dyDescent="0.25">
      <c r="A120" s="15">
        <v>118</v>
      </c>
      <c r="B120" s="46" t="s">
        <v>100</v>
      </c>
      <c r="C120" s="62"/>
      <c r="D120" s="63"/>
      <c r="E120" s="64">
        <f t="shared" si="13"/>
        <v>0</v>
      </c>
      <c r="F120" s="18">
        <v>1400</v>
      </c>
      <c r="G120" s="17">
        <v>24</v>
      </c>
      <c r="H120" s="6">
        <f t="shared" ref="H120:H122" si="18">15600+F120*G120</f>
        <v>49200</v>
      </c>
      <c r="I120" s="3"/>
      <c r="J120" s="7"/>
      <c r="K120" s="56">
        <f t="shared" si="17"/>
        <v>-49200</v>
      </c>
      <c r="M120" s="75" t="s">
        <v>126</v>
      </c>
      <c r="N120" s="5">
        <v>-1001</v>
      </c>
    </row>
    <row r="121" spans="1:14" ht="14.45" customHeight="1" x14ac:dyDescent="0.25">
      <c r="A121" s="15">
        <v>119</v>
      </c>
      <c r="B121" s="46" t="s">
        <v>101</v>
      </c>
      <c r="C121" s="62"/>
      <c r="D121" s="63"/>
      <c r="E121" s="64">
        <f t="shared" si="13"/>
        <v>0</v>
      </c>
      <c r="F121" s="18">
        <v>1400</v>
      </c>
      <c r="G121" s="17">
        <v>24</v>
      </c>
      <c r="H121" s="6">
        <f t="shared" si="18"/>
        <v>49200</v>
      </c>
      <c r="I121" s="3">
        <f>14047+3000+3000+5000+2500+3000</f>
        <v>30547</v>
      </c>
      <c r="J121" s="7"/>
      <c r="K121" s="56">
        <f t="shared" si="17"/>
        <v>-18653</v>
      </c>
      <c r="M121" s="75" t="s">
        <v>126</v>
      </c>
      <c r="N121" s="5">
        <v>-1001</v>
      </c>
    </row>
    <row r="122" spans="1:14" ht="14.45" customHeight="1" x14ac:dyDescent="0.25">
      <c r="A122" s="15">
        <v>120</v>
      </c>
      <c r="B122" s="46" t="s">
        <v>102</v>
      </c>
      <c r="C122" s="62"/>
      <c r="D122" s="63"/>
      <c r="E122" s="64">
        <f t="shared" si="13"/>
        <v>0</v>
      </c>
      <c r="F122" s="18">
        <v>1400</v>
      </c>
      <c r="G122" s="17">
        <v>24</v>
      </c>
      <c r="H122" s="6">
        <f t="shared" si="18"/>
        <v>49200</v>
      </c>
      <c r="I122" s="3">
        <f>43201+1799</f>
        <v>45000</v>
      </c>
      <c r="J122" s="7"/>
      <c r="K122" s="56">
        <f t="shared" si="17"/>
        <v>-4200</v>
      </c>
      <c r="M122" s="75" t="s">
        <v>126</v>
      </c>
      <c r="N122" s="5">
        <v>-1001</v>
      </c>
    </row>
    <row r="123" spans="1:14" ht="26.45" customHeight="1" x14ac:dyDescent="0.25">
      <c r="A123" s="54" t="s">
        <v>5</v>
      </c>
      <c r="B123" s="46" t="s">
        <v>103</v>
      </c>
      <c r="C123" s="62">
        <v>200</v>
      </c>
      <c r="D123" s="63">
        <v>200</v>
      </c>
      <c r="E123" s="64">
        <f t="shared" si="13"/>
        <v>0</v>
      </c>
      <c r="F123" s="18">
        <v>1400</v>
      </c>
      <c r="G123" s="17">
        <v>24</v>
      </c>
      <c r="H123" s="2">
        <f>35400+F123*G123</f>
        <v>69000</v>
      </c>
      <c r="I123" s="3">
        <f>24000+8740+11200+14005+16800</f>
        <v>74745</v>
      </c>
      <c r="J123" s="7"/>
      <c r="K123" s="49">
        <f t="shared" si="17"/>
        <v>5745</v>
      </c>
      <c r="M123" s="75" t="s">
        <v>131</v>
      </c>
      <c r="N123" s="5">
        <v>-1540</v>
      </c>
    </row>
    <row r="124" spans="1:14" ht="14.45" customHeight="1" x14ac:dyDescent="0.25">
      <c r="A124" s="15">
        <v>122</v>
      </c>
      <c r="B124" s="46" t="s">
        <v>139</v>
      </c>
      <c r="C124" s="62"/>
      <c r="D124" s="63"/>
      <c r="E124" s="64">
        <f t="shared" si="13"/>
        <v>0</v>
      </c>
      <c r="F124" s="18">
        <v>1400</v>
      </c>
      <c r="G124" s="17">
        <v>24</v>
      </c>
      <c r="H124" s="6">
        <f>15600+F124*G124</f>
        <v>49200</v>
      </c>
      <c r="I124" s="3">
        <f>44601</f>
        <v>44601</v>
      </c>
      <c r="J124" s="7"/>
      <c r="K124" s="56">
        <f t="shared" si="17"/>
        <v>-4599</v>
      </c>
      <c r="M124" s="75" t="s">
        <v>126</v>
      </c>
      <c r="N124" s="5">
        <v>-1001</v>
      </c>
    </row>
    <row r="125" spans="1:14" ht="14.45" customHeight="1" x14ac:dyDescent="0.25">
      <c r="A125" s="54">
        <v>124</v>
      </c>
      <c r="B125" s="46" t="s">
        <v>104</v>
      </c>
      <c r="C125" s="62">
        <v>200</v>
      </c>
      <c r="D125" s="63">
        <v>200</v>
      </c>
      <c r="E125" s="64">
        <f t="shared" si="13"/>
        <v>0</v>
      </c>
      <c r="F125" s="18">
        <v>1400</v>
      </c>
      <c r="G125" s="17">
        <v>24</v>
      </c>
      <c r="H125" s="2">
        <f>15600+F125*G125</f>
        <v>49200</v>
      </c>
      <c r="I125" s="3">
        <f>1200+9600+12000+14000+10000</f>
        <v>46800</v>
      </c>
      <c r="J125" s="7"/>
      <c r="K125" s="8">
        <f t="shared" si="17"/>
        <v>-2400</v>
      </c>
      <c r="M125" s="39" t="s">
        <v>113</v>
      </c>
      <c r="N125" s="5">
        <v>0</v>
      </c>
    </row>
    <row r="126" spans="1:14" ht="14.45" customHeight="1" x14ac:dyDescent="0.25">
      <c r="A126" s="53">
        <v>125</v>
      </c>
      <c r="B126" s="61" t="s">
        <v>105</v>
      </c>
      <c r="C126" s="35">
        <v>200</v>
      </c>
      <c r="D126" s="21">
        <v>200</v>
      </c>
      <c r="E126" s="64">
        <f t="shared" si="13"/>
        <v>0</v>
      </c>
      <c r="F126" s="18">
        <v>1400</v>
      </c>
      <c r="G126" s="17">
        <v>24</v>
      </c>
      <c r="H126" s="2">
        <f>1200+F126*G126</f>
        <v>34800</v>
      </c>
      <c r="I126" s="30">
        <f>1200+2400+1200+3000+1500+1400+1500+3000+1500+1500+1500+1500+1500+1500+1500+1500+1500+1900+1400</f>
        <v>32000</v>
      </c>
      <c r="J126" s="30">
        <v>1400</v>
      </c>
      <c r="K126" s="8">
        <f t="shared" si="17"/>
        <v>-1400</v>
      </c>
      <c r="M126" s="39" t="s">
        <v>113</v>
      </c>
      <c r="N126" s="5">
        <v>0</v>
      </c>
    </row>
    <row r="127" spans="1:14" ht="14.45" customHeight="1" x14ac:dyDescent="0.25">
      <c r="A127" s="15">
        <v>126</v>
      </c>
      <c r="B127" s="46" t="s">
        <v>141</v>
      </c>
      <c r="C127" s="62"/>
      <c r="D127" s="63"/>
      <c r="E127" s="64">
        <f t="shared" si="13"/>
        <v>0</v>
      </c>
      <c r="F127" s="18">
        <v>1400</v>
      </c>
      <c r="G127" s="17">
        <v>24</v>
      </c>
      <c r="H127" s="6">
        <f>15600+F127*G127</f>
        <v>49200</v>
      </c>
      <c r="I127" s="3">
        <f>41801+3199</f>
        <v>45000</v>
      </c>
      <c r="J127" s="7"/>
      <c r="K127" s="56">
        <f t="shared" si="17"/>
        <v>-4200</v>
      </c>
      <c r="M127" s="75" t="s">
        <v>126</v>
      </c>
      <c r="N127" s="5">
        <v>-1001</v>
      </c>
    </row>
    <row r="128" spans="1:14" s="1" customFormat="1" x14ac:dyDescent="0.25">
      <c r="A128" s="53">
        <v>127</v>
      </c>
      <c r="B128" s="61" t="s">
        <v>106</v>
      </c>
      <c r="C128" s="35">
        <v>200</v>
      </c>
      <c r="D128" s="21">
        <v>200</v>
      </c>
      <c r="E128" s="64">
        <f t="shared" si="13"/>
        <v>0</v>
      </c>
      <c r="F128" s="18">
        <v>1400</v>
      </c>
      <c r="G128" s="17">
        <v>24</v>
      </c>
      <c r="H128" s="2">
        <f>1200+F128*G128</f>
        <v>34800</v>
      </c>
      <c r="I128" s="30">
        <f>1277+2800+2800+1400+1400+1400+1400+1400+1400+1400+1400+4200+1400+1400+1400+1400+1400+1400+1400</f>
        <v>32077</v>
      </c>
      <c r="J128" s="30">
        <v>1400</v>
      </c>
      <c r="K128" s="38">
        <f t="shared" si="17"/>
        <v>-1323</v>
      </c>
      <c r="L128" s="45"/>
      <c r="M128" s="75" t="s">
        <v>128</v>
      </c>
      <c r="N128" s="5">
        <v>-77</v>
      </c>
    </row>
    <row r="129" spans="1:14" s="1" customFormat="1" x14ac:dyDescent="0.25">
      <c r="A129" s="14">
        <v>128</v>
      </c>
      <c r="B129" s="61" t="s">
        <v>133</v>
      </c>
      <c r="C129" s="35"/>
      <c r="D129" s="21"/>
      <c r="E129" s="64">
        <f t="shared" si="13"/>
        <v>0</v>
      </c>
      <c r="F129" s="18">
        <v>1400</v>
      </c>
      <c r="G129" s="77">
        <v>3</v>
      </c>
      <c r="H129" s="6">
        <f>F129*G129</f>
        <v>4200</v>
      </c>
      <c r="I129" s="30">
        <f>1400</f>
        <v>1400</v>
      </c>
      <c r="J129" s="30">
        <v>1400</v>
      </c>
      <c r="K129" s="38">
        <f t="shared" si="17"/>
        <v>-1400</v>
      </c>
      <c r="L129" s="45"/>
      <c r="M129" s="41"/>
    </row>
    <row r="130" spans="1:14" hidden="1" x14ac:dyDescent="0.25">
      <c r="A130" s="13">
        <v>129</v>
      </c>
      <c r="B130" s="48" t="s">
        <v>27</v>
      </c>
      <c r="C130" s="36"/>
      <c r="D130" s="80"/>
      <c r="E130" s="80">
        <f t="shared" si="13"/>
        <v>0</v>
      </c>
      <c r="F130" s="42"/>
      <c r="G130" s="17">
        <v>23</v>
      </c>
      <c r="H130" s="27">
        <v>0</v>
      </c>
      <c r="I130" s="26"/>
      <c r="J130" s="26"/>
      <c r="K130" s="82">
        <f t="shared" si="17"/>
        <v>0</v>
      </c>
      <c r="M130" s="39"/>
    </row>
    <row r="131" spans="1:14" s="1" customFormat="1" ht="14.45" customHeight="1" x14ac:dyDescent="0.25">
      <c r="A131" s="14">
        <v>130</v>
      </c>
      <c r="B131" s="46" t="s">
        <v>107</v>
      </c>
      <c r="C131" s="35"/>
      <c r="D131" s="21"/>
      <c r="E131" s="64">
        <f t="shared" si="13"/>
        <v>0</v>
      </c>
      <c r="F131" s="18">
        <v>1400</v>
      </c>
      <c r="G131" s="17">
        <v>24</v>
      </c>
      <c r="H131" s="6">
        <f>1200+F131*G131</f>
        <v>34800</v>
      </c>
      <c r="I131" s="30">
        <f>1277+1400+1400+1400+1400+1400+1400+2800+1400+1400+1400+1400+1400+1400+1400+1400+2800+1400+1400+1400</f>
        <v>30677</v>
      </c>
      <c r="J131" s="30">
        <v>2800</v>
      </c>
      <c r="K131" s="38">
        <f t="shared" si="17"/>
        <v>-1323</v>
      </c>
      <c r="L131" s="45"/>
      <c r="M131" s="75" t="s">
        <v>128</v>
      </c>
      <c r="N131" s="5">
        <v>-77</v>
      </c>
    </row>
    <row r="132" spans="1:14" ht="14.45" customHeight="1" x14ac:dyDescent="0.25">
      <c r="A132" s="53">
        <v>131</v>
      </c>
      <c r="B132" s="46" t="s">
        <v>108</v>
      </c>
      <c r="C132" s="35">
        <v>200</v>
      </c>
      <c r="D132" s="21">
        <v>200</v>
      </c>
      <c r="E132" s="64">
        <f t="shared" si="13"/>
        <v>0</v>
      </c>
      <c r="F132" s="18">
        <v>1400</v>
      </c>
      <c r="G132" s="17">
        <v>24</v>
      </c>
      <c r="H132" s="2">
        <f t="shared" ref="H132:H133" si="19">4800+F132*G132</f>
        <v>38400</v>
      </c>
      <c r="I132" s="30">
        <f>1200+5000+1400+1400+2800+1400+1400+1400+1400+1400+1400+11277+1400+1400+1400</f>
        <v>35677</v>
      </c>
      <c r="J132" s="30"/>
      <c r="K132" s="38">
        <f t="shared" si="17"/>
        <v>-2723</v>
      </c>
      <c r="M132" s="75" t="s">
        <v>128</v>
      </c>
      <c r="N132" s="5">
        <v>-77</v>
      </c>
    </row>
    <row r="133" spans="1:14" ht="14.45" customHeight="1" x14ac:dyDescent="0.25">
      <c r="A133" s="53">
        <v>132</v>
      </c>
      <c r="B133" s="46" t="s">
        <v>109</v>
      </c>
      <c r="C133" s="35">
        <v>200</v>
      </c>
      <c r="D133" s="21">
        <v>200</v>
      </c>
      <c r="E133" s="64">
        <f t="shared" si="13"/>
        <v>0</v>
      </c>
      <c r="F133" s="18">
        <v>1400</v>
      </c>
      <c r="G133" s="17">
        <v>24</v>
      </c>
      <c r="H133" s="2">
        <f t="shared" si="19"/>
        <v>38400</v>
      </c>
      <c r="I133" s="30">
        <f>1277+1200+1200+1200+1400+2800+1400+1400+2800+5600+4200+8400+5800</f>
        <v>38677</v>
      </c>
      <c r="J133" s="30"/>
      <c r="K133" s="52">
        <f t="shared" si="17"/>
        <v>277</v>
      </c>
      <c r="M133" s="75" t="s">
        <v>128</v>
      </c>
      <c r="N133" s="5">
        <v>-77</v>
      </c>
    </row>
    <row r="134" spans="1:14" ht="14.45" customHeight="1" thickBot="1" x14ac:dyDescent="0.3">
      <c r="A134" s="54">
        <v>133</v>
      </c>
      <c r="B134" s="46" t="s">
        <v>110</v>
      </c>
      <c r="C134" s="85">
        <v>200</v>
      </c>
      <c r="D134" s="87">
        <v>200</v>
      </c>
      <c r="E134" s="64">
        <f>D134-C134</f>
        <v>0</v>
      </c>
      <c r="F134" s="18">
        <v>1400</v>
      </c>
      <c r="G134" s="17">
        <v>24</v>
      </c>
      <c r="H134" s="2">
        <f>15600+F134*G134</f>
        <v>49200</v>
      </c>
      <c r="I134" s="94">
        <f>6000+3000+3000+2000+2000+2000+1000+2000+2000+1500+1500+2000+2000+3000+2000+2000+2000+2000+2000+2000+2000+2000</f>
        <v>49000</v>
      </c>
      <c r="J134" s="91">
        <v>2000</v>
      </c>
      <c r="K134" s="49">
        <f t="shared" si="17"/>
        <v>1800</v>
      </c>
      <c r="M134" s="39" t="s">
        <v>113</v>
      </c>
      <c r="N134" s="5">
        <v>0</v>
      </c>
    </row>
    <row r="135" spans="1:14" ht="15.75" thickBot="1" x14ac:dyDescent="0.3">
      <c r="A135" s="16"/>
      <c r="B135" s="24"/>
      <c r="C135" s="19">
        <f>SUM(C5:C134)</f>
        <v>16800</v>
      </c>
      <c r="D135" s="19">
        <f>SUM(D5:D134)</f>
        <v>14610</v>
      </c>
      <c r="E135" s="67">
        <f>SUM(E5:E134)</f>
        <v>-2190</v>
      </c>
      <c r="F135" s="24">
        <f>SUM(F6:F134)</f>
        <v>177800</v>
      </c>
      <c r="G135" s="24"/>
      <c r="H135" s="9">
        <f>SUM(H6:H134)</f>
        <v>5999600</v>
      </c>
      <c r="I135" s="9">
        <f>SUM(I5:I134)</f>
        <v>4296053.9700000007</v>
      </c>
      <c r="J135" s="9">
        <f>SUM(J6:J134)</f>
        <v>179070.32</v>
      </c>
      <c r="K135" s="10">
        <f>SUM(K4:K134)</f>
        <v>-1524475.71</v>
      </c>
      <c r="M135" s="39"/>
      <c r="N135" s="5">
        <f>SUM(N7:N134)</f>
        <v>-61061</v>
      </c>
    </row>
    <row r="136" spans="1:14" x14ac:dyDescent="0.25">
      <c r="A136" s="31"/>
      <c r="B136" s="43"/>
      <c r="C136" s="22"/>
      <c r="D136" s="22"/>
      <c r="E136" s="22"/>
      <c r="F136" s="22"/>
      <c r="G136" s="32"/>
      <c r="H136" s="28"/>
      <c r="K136" s="60"/>
    </row>
    <row r="137" spans="1:14" hidden="1" x14ac:dyDescent="0.25">
      <c r="A137" s="33"/>
      <c r="B137" s="44"/>
      <c r="C137" s="23"/>
      <c r="D137" s="23"/>
      <c r="E137" s="23"/>
      <c r="F137" s="23"/>
      <c r="G137" s="34"/>
      <c r="H137" s="29"/>
      <c r="K137" s="12">
        <v>-1525936.03</v>
      </c>
      <c r="M137" s="39"/>
    </row>
    <row r="138" spans="1:14" hidden="1" x14ac:dyDescent="0.25">
      <c r="A138" s="33"/>
      <c r="B138" s="44"/>
      <c r="C138" s="23"/>
      <c r="D138" s="23"/>
      <c r="E138" s="23"/>
      <c r="F138" s="23"/>
      <c r="G138" s="34"/>
      <c r="H138" s="29"/>
      <c r="K138" s="12">
        <f>K137-K135</f>
        <v>-1460.3200000000652</v>
      </c>
    </row>
    <row r="139" spans="1:14" x14ac:dyDescent="0.25">
      <c r="A139" s="33"/>
      <c r="B139" s="44"/>
      <c r="C139" s="23"/>
      <c r="D139" s="23"/>
      <c r="E139" s="23"/>
      <c r="F139" s="23"/>
      <c r="G139" s="34"/>
      <c r="H139" s="29"/>
    </row>
  </sheetData>
  <autoFilter ref="A3:N135"/>
  <mergeCells count="16">
    <mergeCell ref="B20:B21"/>
    <mergeCell ref="C20:C21"/>
    <mergeCell ref="D20:D21"/>
    <mergeCell ref="E20:E21"/>
    <mergeCell ref="B98:B99"/>
    <mergeCell ref="C98:C99"/>
    <mergeCell ref="D98:D99"/>
    <mergeCell ref="E98:E99"/>
    <mergeCell ref="A1:K1"/>
    <mergeCell ref="A2:A3"/>
    <mergeCell ref="C2:D2"/>
    <mergeCell ref="E2:E3"/>
    <mergeCell ref="F2:F3"/>
    <mergeCell ref="G2:G3"/>
    <mergeCell ref="H2:J2"/>
    <mergeCell ref="K2:K3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30.09.19</vt:lpstr>
      <vt:lpstr>'Инфраструктура 30.09.19'!Заголовки_для_печати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2019-10-01T19:32:20Z</cp:lastPrinted>
  <dcterms:created xsi:type="dcterms:W3CDTF">2016-01-29T19:25:15Z</dcterms:created>
  <dcterms:modified xsi:type="dcterms:W3CDTF">2019-10-01T19:32:38Z</dcterms:modified>
</cp:coreProperties>
</file>